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7215" activeTab="0"/>
  </bookViews>
  <sheets>
    <sheet name="Azzad" sheetId="1" r:id="rId1"/>
  </sheets>
  <definedNames>
    <definedName name="_xlfn._FV" hidden="1">#NAME?</definedName>
    <definedName name="_xlfn.ANCHORARRAY" hidden="1">#NAME?</definedName>
    <definedName name="_xlnm.Print_Area" localSheetId="0">'Azzad'!$A$1:$H$212</definedName>
    <definedName name="_xlnm.Print_Titles" localSheetId="0">'Azzad'!$5:$6</definedName>
  </definedNames>
  <calcPr fullCalcOnLoad="1"/>
</workbook>
</file>

<file path=xl/sharedStrings.xml><?xml version="1.0" encoding="utf-8"?>
<sst xmlns="http://schemas.openxmlformats.org/spreadsheetml/2006/main" count="116" uniqueCount="107">
  <si>
    <t>Fair Value ($)(1)</t>
  </si>
  <si>
    <t>Shares or Principal</t>
  </si>
  <si>
    <t>Amount ($)</t>
  </si>
  <si>
    <t>Security Description</t>
  </si>
  <si>
    <r>
      <t xml:space="preserve">(1)  </t>
    </r>
    <r>
      <rPr>
        <b/>
        <i/>
        <sz val="10"/>
        <rFont val="Times New Roman"/>
        <family val="1"/>
      </rPr>
      <t>Statement on Financial Accounting Standard No. 157 "Fair Value Measurements"</t>
    </r>
    <r>
      <rPr>
        <sz val="10"/>
        <rFont val="Times New Roman"/>
        <family val="1"/>
      </rPr>
      <t xml:space="preserve"> - Various inputs are used in determining the value of the Fund's investments.</t>
    </r>
  </si>
  <si>
    <t xml:space="preserve">        • Level 1 - quoted prices in active markets for identical securities</t>
  </si>
  <si>
    <t xml:space="preserve">        • Level 2 - other significant observable inputs (including quoted prices for similar securities, interest rates, prepayment speeds, credit risk, etc.)</t>
  </si>
  <si>
    <t xml:space="preserve">        • Level 3 - significant unobservable inputs (including the Fund's own assumptions in determining the fair value of investments)</t>
  </si>
  <si>
    <t xml:space="preserve">Investments in </t>
  </si>
  <si>
    <t>Securities</t>
  </si>
  <si>
    <t>Other Financial</t>
  </si>
  <si>
    <t>Instruments (9)</t>
  </si>
  <si>
    <t>Valuation Inputs</t>
  </si>
  <si>
    <t>Level 1 - Quoted Prices</t>
  </si>
  <si>
    <t>Level 2 - Other Significant Observable Inputs</t>
  </si>
  <si>
    <t>Level 3 - Significant Unobservable Inputs</t>
  </si>
  <si>
    <t>Total</t>
  </si>
  <si>
    <t>$</t>
  </si>
  <si>
    <t>-</t>
  </si>
  <si>
    <t>Azzad Ethical Fund</t>
  </si>
  <si>
    <t xml:space="preserve">       These inputs are summarized in the three broad levels listed below.</t>
  </si>
  <si>
    <t>From Trial Balance</t>
  </si>
  <si>
    <t>Cash ck acct</t>
  </si>
  <si>
    <t>Acc In</t>
  </si>
  <si>
    <t>Acc Div</t>
  </si>
  <si>
    <t>Rcv for Inv Total</t>
  </si>
  <si>
    <t>Prepd Bluesky</t>
  </si>
  <si>
    <t>Prepd Ins</t>
  </si>
  <si>
    <t>Rec from Adv</t>
  </si>
  <si>
    <t>Checking</t>
  </si>
  <si>
    <t>Huntington Custody</t>
  </si>
  <si>
    <t>Liabilitiies</t>
  </si>
  <si>
    <t xml:space="preserve">Vail Resorts, Inc. </t>
  </si>
  <si>
    <t>The inputs or methodology used for valuing securities are not necessarily an indication of the risk associated with investing in those securities. For example, short-term</t>
  </si>
  <si>
    <t>debt instruments and repurchase agreements with a maturity of less than 60 days are valued using amortized cost, in accordance with rules under the Investment</t>
  </si>
  <si>
    <t>Company Act of 1940. Generally, amortized cost approximates the current fair value of a security, but since the value is not obtained from a quoted price in an active</t>
  </si>
  <si>
    <t>market, such securities are reflected as Level 2.</t>
  </si>
  <si>
    <t>Schedule of Investments</t>
  </si>
  <si>
    <t>Net Assets Trial</t>
  </si>
  <si>
    <t>4/1 daily activity</t>
  </si>
  <si>
    <t xml:space="preserve">Lululemon Athletica, Inc. (Canada)  </t>
  </si>
  <si>
    <t>Howmet Aerospace, Inc. (2)</t>
  </si>
  <si>
    <t xml:space="preserve"> March 31, 2024 (unaudited)</t>
  </si>
  <si>
    <t>Fox Factory Holding Corp.</t>
  </si>
  <si>
    <t>Celsius Holdings, Inc.</t>
  </si>
  <si>
    <t>West Pharmaceutical Services, Inc.</t>
  </si>
  <si>
    <t>Mettler-Toledo International Inc.</t>
  </si>
  <si>
    <t>Align Technology, Inc.</t>
  </si>
  <si>
    <t>Five Below, Inc.</t>
  </si>
  <si>
    <t>On Holding AG</t>
  </si>
  <si>
    <t>HubSpot, Inc.</t>
  </si>
  <si>
    <t>MongoDB, Inc.</t>
  </si>
  <si>
    <t>Zebra Technologies Corporation</t>
  </si>
  <si>
    <t>Inspire Medical Systems, Inc.</t>
  </si>
  <si>
    <t>IDEXX Laboratories, Inc.</t>
  </si>
  <si>
    <t>Lattice Semiconductor Corporation</t>
  </si>
  <si>
    <t>Onto Innovations, Inc.</t>
  </si>
  <si>
    <t>Levi Strauss &amp; Co. Class A (2)</t>
  </si>
  <si>
    <t>A.O. Smith Corp. (2)</t>
  </si>
  <si>
    <t>Agilent Technologies, Inc. (2)</t>
  </si>
  <si>
    <t>GE HealthCare Technologies Inc. (2)</t>
  </si>
  <si>
    <t>KLA Corp. (2)</t>
  </si>
  <si>
    <t>Fastenal Co. (2)</t>
  </si>
  <si>
    <t>Microchip Technology, Inc. (2)</t>
  </si>
  <si>
    <t>Monolithic Power Systems, Inc. (2)</t>
  </si>
  <si>
    <t>Factset Research Systems, Inc. (2)</t>
  </si>
  <si>
    <t>Rollins, Inc. (2)</t>
  </si>
  <si>
    <t>Littelfuse, Inc. (2)</t>
  </si>
  <si>
    <t>Pool Corp. (2)</t>
  </si>
  <si>
    <t>Old Dominion Freight Line, Inc. (2)</t>
  </si>
  <si>
    <t>HEICO Corp. Class A (2)</t>
  </si>
  <si>
    <t>Bio-Techne Corp. (2)</t>
  </si>
  <si>
    <t>Quanta Services, Inc. (2)</t>
  </si>
  <si>
    <t>Universal Display Corp. (2)</t>
  </si>
  <si>
    <t xml:space="preserve">Keysight Technologies, Inc.  </t>
  </si>
  <si>
    <t>Teradyne, Inc. (2)</t>
  </si>
  <si>
    <t>Martin Marietta Materials, Inc. (2)</t>
  </si>
  <si>
    <t xml:space="preserve">Generac Holdings, Inc. Class A  </t>
  </si>
  <si>
    <t xml:space="preserve">National Vision Holdings, Inc.  </t>
  </si>
  <si>
    <t xml:space="preserve">The Cooper Companies, Inc.  </t>
  </si>
  <si>
    <t xml:space="preserve">Edwards Lifesciences Corp.   </t>
  </si>
  <si>
    <t xml:space="preserve">Intuitive Surgical, Inc.   </t>
  </si>
  <si>
    <t>Westinghouse Air Brake Technologies Corporation (2)</t>
  </si>
  <si>
    <t xml:space="preserve">Copart, Inc.  </t>
  </si>
  <si>
    <t xml:space="preserve">Floor &amp; Decor Holdings, Inc. Class A </t>
  </si>
  <si>
    <t xml:space="preserve">Costar Group, Inc. </t>
  </si>
  <si>
    <t xml:space="preserve">Workday, Inc. Class A </t>
  </si>
  <si>
    <t xml:space="preserve">Pinterest, Inc. Class A  </t>
  </si>
  <si>
    <t xml:space="preserve">The Trade Desk, Inc. Class A </t>
  </si>
  <si>
    <t xml:space="preserve">Cadence Design Systems, Inc.  </t>
  </si>
  <si>
    <t xml:space="preserve">Crowdstrike Holdings, Inc. Class A  </t>
  </si>
  <si>
    <t xml:space="preserve">Tyler Technologies, Inc.  </t>
  </si>
  <si>
    <t xml:space="preserve">Veeva Systems, Inc. Class A  </t>
  </si>
  <si>
    <t xml:space="preserve">Workiva, Inc.  </t>
  </si>
  <si>
    <t xml:space="preserve">Doubleverify Holdings, Inc.  </t>
  </si>
  <si>
    <t xml:space="preserve">DexCom, Inc.  </t>
  </si>
  <si>
    <t xml:space="preserve">Hologic, Inc. </t>
  </si>
  <si>
    <t>Lincoln Electric Holdings, Inc. (2)</t>
  </si>
  <si>
    <t xml:space="preserve">Novanta, Inc. </t>
  </si>
  <si>
    <t xml:space="preserve">Repligen Corp. </t>
  </si>
  <si>
    <t xml:space="preserve">Willscot Mobile Mini Holding Corp.  </t>
  </si>
  <si>
    <t xml:space="preserve">Trex Co., Inc.   </t>
  </si>
  <si>
    <t xml:space="preserve">Trimble, Inc.   </t>
  </si>
  <si>
    <t xml:space="preserve"> </t>
  </si>
  <si>
    <t>(Cost $        108,755,914)</t>
  </si>
  <si>
    <t>(2)  Represents non-income producing securities.</t>
  </si>
  <si>
    <t xml:space="preserve">       The following is a summary of the inputs used as of  March 28, 2024 in valuing the Fund's assets carried at fair value: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</si>
</sst>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dd\,\ yyyy"/>
    <numFmt numFmtId="169" formatCode="&quot;$&quot;* #,##0"/>
    <numFmt numFmtId="170" formatCode="* #,##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[$-409]h:mm:ss\ AM/PM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Verdana"/>
      <family val="2"/>
    </font>
    <font>
      <sz val="8"/>
      <color theme="1"/>
      <name val="Verdana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37" fontId="21" fillId="0" borderId="0" xfId="0" applyNumberFormat="1" applyFont="1" applyAlignment="1">
      <alignment horizontal="right"/>
    </xf>
    <xf numFmtId="37" fontId="21" fillId="0" borderId="10" xfId="0" applyNumberFormat="1" applyFont="1" applyBorder="1" applyAlignment="1">
      <alignment horizontal="right"/>
    </xf>
    <xf numFmtId="37" fontId="22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/>
    </xf>
    <xf numFmtId="37" fontId="22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37" fontId="22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37" fontId="22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8" fillId="0" borderId="17" xfId="0" applyFont="1" applyFill="1" applyBorder="1" applyAlignment="1">
      <alignment horizontal="right" wrapText="1"/>
    </xf>
    <xf numFmtId="3" fontId="28" fillId="0" borderId="17" xfId="0" applyNumberFormat="1" applyFont="1" applyFill="1" applyBorder="1" applyAlignment="1">
      <alignment horizontal="right" wrapText="1"/>
    </xf>
    <xf numFmtId="0" fontId="22" fillId="0" borderId="17" xfId="0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0" fontId="28" fillId="0" borderId="18" xfId="0" applyFont="1" applyFill="1" applyBorder="1" applyAlignment="1">
      <alignment horizontal="right" wrapText="1"/>
    </xf>
    <xf numFmtId="0" fontId="22" fillId="0" borderId="16" xfId="0" applyFont="1" applyBorder="1" applyAlignment="1">
      <alignment/>
    </xf>
    <xf numFmtId="10" fontId="22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10" fontId="22" fillId="0" borderId="0" xfId="0" applyNumberFormat="1" applyFont="1" applyFill="1" applyBorder="1" applyAlignment="1">
      <alignment/>
    </xf>
    <xf numFmtId="10" fontId="28" fillId="0" borderId="0" xfId="0" applyNumberFormat="1" applyFont="1" applyFill="1" applyBorder="1" applyAlignment="1">
      <alignment horizontal="left"/>
    </xf>
    <xf numFmtId="39" fontId="22" fillId="0" borderId="0" xfId="0" applyNumberFormat="1" applyFont="1" applyAlignment="1">
      <alignment/>
    </xf>
    <xf numFmtId="39" fontId="21" fillId="0" borderId="0" xfId="0" applyNumberFormat="1" applyFont="1" applyAlignment="1">
      <alignment/>
    </xf>
    <xf numFmtId="37" fontId="22" fillId="0" borderId="0" xfId="0" applyNumberFormat="1" applyFont="1" applyFill="1" applyAlignment="1">
      <alignment horizontal="right"/>
    </xf>
    <xf numFmtId="10" fontId="22" fillId="0" borderId="0" xfId="0" applyNumberFormat="1" applyFont="1" applyFill="1" applyAlignment="1">
      <alignment/>
    </xf>
    <xf numFmtId="3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22" fillId="0" borderId="0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4" fontId="22" fillId="24" borderId="0" xfId="0" applyNumberFormat="1" applyFont="1" applyFill="1" applyAlignment="1">
      <alignment/>
    </xf>
    <xf numFmtId="16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81" fontId="22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4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7" fontId="22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3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37" fontId="2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25" borderId="0" xfId="60" applyFont="1" applyFill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Note 2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tabSelected="1" zoomScale="150" zoomScaleNormal="150" zoomScalePageLayoutView="0" workbookViewId="0" topLeftCell="A1">
      <selection activeCell="H184" sqref="H184"/>
    </sheetView>
  </sheetViews>
  <sheetFormatPr defaultColWidth="9.140625" defaultRowHeight="12.75"/>
  <cols>
    <col min="1" max="1" width="11.140625" style="1" customWidth="1"/>
    <col min="2" max="2" width="9.140625" style="1" customWidth="1"/>
    <col min="3" max="3" width="34.28125" style="1" customWidth="1"/>
    <col min="4" max="4" width="17.421875" style="1" customWidth="1"/>
    <col min="5" max="5" width="19.421875" style="1" customWidth="1"/>
    <col min="6" max="6" width="21.57421875" style="6" bestFit="1" customWidth="1"/>
    <col min="7" max="7" width="3.57421875" style="6" customWidth="1"/>
    <col min="8" max="8" width="16.57421875" style="6" customWidth="1"/>
    <col min="9" max="9" width="9.140625" style="25" hidden="1" customWidth="1"/>
    <col min="10" max="10" width="11.421875" style="29" hidden="1" customWidth="1"/>
    <col min="11" max="11" width="13.421875" style="29" hidden="1" customWidth="1"/>
    <col min="12" max="12" width="11.7109375" style="29" hidden="1" customWidth="1"/>
    <col min="13" max="13" width="11.7109375" style="1" hidden="1" customWidth="1"/>
    <col min="14" max="16" width="9.140625" style="1" hidden="1" customWidth="1"/>
    <col min="17" max="17" width="11.421875" style="1" hidden="1" customWidth="1"/>
    <col min="18" max="18" width="0" style="1" hidden="1" customWidth="1"/>
    <col min="19" max="16384" width="9.140625" style="1" customWidth="1"/>
  </cols>
  <sheetData>
    <row r="1" spans="1:16" ht="12.75">
      <c r="A1" s="59" t="s">
        <v>37</v>
      </c>
      <c r="B1" s="59"/>
      <c r="C1" s="59"/>
      <c r="D1" s="59"/>
      <c r="E1" s="59"/>
      <c r="F1" s="59"/>
      <c r="G1" s="59"/>
      <c r="H1" s="59"/>
      <c r="P1" s="41"/>
    </row>
    <row r="2" spans="1:8" ht="12.75">
      <c r="A2" s="60" t="s">
        <v>42</v>
      </c>
      <c r="B2" s="60"/>
      <c r="C2" s="60"/>
      <c r="D2" s="60"/>
      <c r="E2" s="60"/>
      <c r="F2" s="60"/>
      <c r="G2" s="60"/>
      <c r="H2" s="60"/>
    </row>
    <row r="3" spans="1:8" ht="12.75">
      <c r="A3" s="61" t="s">
        <v>19</v>
      </c>
      <c r="B3" s="61"/>
      <c r="C3" s="61"/>
      <c r="D3" s="61"/>
      <c r="E3" s="61"/>
      <c r="F3" s="61"/>
      <c r="G3" s="61"/>
      <c r="H3" s="61"/>
    </row>
    <row r="5" spans="6:12" s="2" customFormat="1" ht="12.75">
      <c r="F5" s="4" t="s">
        <v>1</v>
      </c>
      <c r="G5" s="4"/>
      <c r="H5" s="4"/>
      <c r="I5" s="26"/>
      <c r="J5" s="30"/>
      <c r="K5" s="30"/>
      <c r="L5" s="30"/>
    </row>
    <row r="6" spans="1:21" ht="12.75">
      <c r="A6" s="62" t="s">
        <v>3</v>
      </c>
      <c r="B6" s="62"/>
      <c r="C6" s="62"/>
      <c r="D6" s="3"/>
      <c r="E6" s="3"/>
      <c r="F6" s="5" t="s">
        <v>2</v>
      </c>
      <c r="G6" s="5"/>
      <c r="H6" s="5" t="s">
        <v>0</v>
      </c>
      <c r="N6" s="34"/>
      <c r="O6" s="34"/>
      <c r="P6" s="34"/>
      <c r="Q6" s="34"/>
      <c r="R6" s="34"/>
      <c r="S6" s="34"/>
      <c r="T6" s="34"/>
      <c r="U6" s="34"/>
    </row>
    <row r="7" spans="1:21" ht="12.75">
      <c r="A7" s="63"/>
      <c r="B7" s="63"/>
      <c r="C7" s="63"/>
      <c r="D7" s="7"/>
      <c r="E7" s="7"/>
      <c r="N7" s="34"/>
      <c r="O7" s="34"/>
      <c r="P7" s="34"/>
      <c r="Q7" s="34"/>
      <c r="R7" s="34"/>
      <c r="S7" s="34"/>
      <c r="T7" s="34"/>
      <c r="U7" s="34"/>
    </row>
    <row r="8" spans="1:21" ht="12.75">
      <c r="A8" s="64" t="str">
        <f>"Common Stocks - "&amp;TEXT((H185)/$H$189+0.0001,"##0.00%")</f>
        <v>Common Stocks - 97.04%</v>
      </c>
      <c r="B8" s="64"/>
      <c r="C8" s="64"/>
      <c r="D8" s="64"/>
      <c r="E8" s="64"/>
      <c r="F8" s="64"/>
      <c r="G8" s="64"/>
      <c r="H8" s="64"/>
      <c r="I8" s="25">
        <f>H185/$H$189</f>
        <v>0.9702772473166955</v>
      </c>
      <c r="N8" s="34"/>
      <c r="O8" s="34"/>
      <c r="P8" s="34"/>
      <c r="Q8" s="34"/>
      <c r="R8" s="34"/>
      <c r="S8" s="34"/>
      <c r="T8" s="34"/>
      <c r="U8" s="34"/>
    </row>
    <row r="9" spans="1:5" ht="12.75">
      <c r="A9" s="54"/>
      <c r="B9" s="54"/>
      <c r="C9" s="54"/>
      <c r="D9" s="54"/>
      <c r="E9" s="54"/>
    </row>
    <row r="10" spans="1:12" s="34" customFormat="1" ht="12.75">
      <c r="A10" s="51" t="str">
        <f>"Aircraft &amp; Parts - "&amp;TEXT((H11)/$H$189+0.0001,"##0.00%")</f>
        <v>Aircraft &amp; Parts - 1.95%</v>
      </c>
      <c r="B10" s="51"/>
      <c r="C10" s="51"/>
      <c r="D10" s="51"/>
      <c r="E10" s="51"/>
      <c r="F10" s="6"/>
      <c r="G10" s="6"/>
      <c r="H10" s="6"/>
      <c r="I10" s="32"/>
      <c r="J10" s="33"/>
      <c r="K10" s="33"/>
      <c r="L10" s="33"/>
    </row>
    <row r="11" spans="1:12" s="34" customFormat="1" ht="12.75">
      <c r="A11" s="50" t="s">
        <v>70</v>
      </c>
      <c r="B11" s="50"/>
      <c r="C11" s="50"/>
      <c r="D11" s="50"/>
      <c r="E11" s="50"/>
      <c r="F11" s="31">
        <v>19545</v>
      </c>
      <c r="G11" s="31"/>
      <c r="H11" s="31">
        <v>3008757</v>
      </c>
      <c r="I11" s="32">
        <f>H11/$H$189</f>
        <v>0.019424700190163246</v>
      </c>
      <c r="J11" s="33"/>
      <c r="K11" s="33"/>
      <c r="L11" s="33"/>
    </row>
    <row r="12" spans="1:12" s="34" customFormat="1" ht="12.75">
      <c r="A12" s="39"/>
      <c r="B12" s="39"/>
      <c r="C12" s="39"/>
      <c r="D12" s="39"/>
      <c r="E12" s="39"/>
      <c r="F12" s="31"/>
      <c r="G12" s="31"/>
      <c r="H12" s="31"/>
      <c r="I12" s="32"/>
      <c r="J12" s="33"/>
      <c r="K12" s="33"/>
      <c r="L12" s="33"/>
    </row>
    <row r="13" spans="1:12" s="34" customFormat="1" ht="12.75">
      <c r="A13" s="51" t="str">
        <f>"Apparel &amp; Other Finished Prods of Fabrics &amp; Similar Material - "&amp;TEXT((H17)/$H$189,"##0.00%")</f>
        <v>Apparel &amp; Other Finished Prods of Fabrics &amp; Similar Material - 2.01%</v>
      </c>
      <c r="B13" s="51"/>
      <c r="C13" s="51"/>
      <c r="D13" s="51"/>
      <c r="E13" s="51"/>
      <c r="F13" s="31"/>
      <c r="G13" s="31"/>
      <c r="H13" s="31"/>
      <c r="I13" s="32"/>
      <c r="J13" s="33"/>
      <c r="K13" s="33"/>
      <c r="L13" s="33"/>
    </row>
    <row r="14" spans="1:12" s="34" customFormat="1" ht="12.75">
      <c r="A14" s="50" t="s">
        <v>57</v>
      </c>
      <c r="B14" s="50"/>
      <c r="C14" s="50"/>
      <c r="D14" s="50"/>
      <c r="E14" s="50"/>
      <c r="F14" s="31">
        <v>92233</v>
      </c>
      <c r="G14" s="31"/>
      <c r="H14" s="31">
        <v>1843738</v>
      </c>
      <c r="I14" s="32"/>
      <c r="J14" s="33"/>
      <c r="K14" s="33"/>
      <c r="L14" s="33"/>
    </row>
    <row r="15" spans="1:12" s="34" customFormat="1" ht="12.75">
      <c r="A15" s="50" t="s">
        <v>40</v>
      </c>
      <c r="B15" s="50"/>
      <c r="C15" s="50"/>
      <c r="D15" s="50"/>
      <c r="E15" s="50"/>
      <c r="F15" s="31">
        <v>3269</v>
      </c>
      <c r="G15" s="31"/>
      <c r="H15" s="31">
        <v>1277035</v>
      </c>
      <c r="I15" s="32"/>
      <c r="J15" s="33"/>
      <c r="K15" s="33"/>
      <c r="L15" s="33"/>
    </row>
    <row r="16" spans="1:12" s="34" customFormat="1" ht="12.75">
      <c r="A16" s="50"/>
      <c r="B16" s="50"/>
      <c r="C16" s="50"/>
      <c r="D16" s="50"/>
      <c r="E16" s="50"/>
      <c r="F16" s="31"/>
      <c r="G16" s="31"/>
      <c r="H16" s="31"/>
      <c r="I16" s="32"/>
      <c r="J16" s="33"/>
      <c r="K16" s="33"/>
      <c r="L16" s="33"/>
    </row>
    <row r="17" spans="1:12" s="34" customFormat="1" ht="12.75">
      <c r="A17" s="39"/>
      <c r="B17" s="39"/>
      <c r="C17" s="39"/>
      <c r="D17" s="39"/>
      <c r="E17" s="39"/>
      <c r="F17" s="31"/>
      <c r="G17" s="31"/>
      <c r="H17" s="31">
        <f>SUM(H14:H15)</f>
        <v>3120773</v>
      </c>
      <c r="I17" s="32">
        <f>H17/$H$189</f>
        <v>0.020147881629043594</v>
      </c>
      <c r="J17" s="33"/>
      <c r="K17" s="33"/>
      <c r="L17" s="33"/>
    </row>
    <row r="18" spans="1:12" s="34" customFormat="1" ht="12.75">
      <c r="A18" s="39"/>
      <c r="B18" s="39"/>
      <c r="C18" s="39"/>
      <c r="D18" s="39"/>
      <c r="E18" s="39"/>
      <c r="F18" s="31"/>
      <c r="G18" s="31"/>
      <c r="H18" s="31"/>
      <c r="I18" s="32"/>
      <c r="J18" s="33"/>
      <c r="K18" s="33"/>
      <c r="L18" s="33"/>
    </row>
    <row r="19" spans="1:12" s="34" customFormat="1" ht="12.75">
      <c r="A19" s="51" t="str">
        <f>"Automotive Components - "&amp;TEXT((H20)/$H$189,"##0.00%")</f>
        <v>Automotive Components - 0.26%</v>
      </c>
      <c r="B19" s="51"/>
      <c r="C19" s="51"/>
      <c r="D19" s="51"/>
      <c r="E19" s="51"/>
      <c r="F19" s="31"/>
      <c r="G19" s="31"/>
      <c r="H19" s="31"/>
      <c r="I19" s="32"/>
      <c r="J19" s="33"/>
      <c r="K19" s="33"/>
      <c r="L19" s="33"/>
    </row>
    <row r="20" spans="1:12" s="34" customFormat="1" ht="12.75">
      <c r="A20" s="48" t="s">
        <v>43</v>
      </c>
      <c r="B20" s="39"/>
      <c r="C20" s="39"/>
      <c r="D20" s="39"/>
      <c r="E20" s="39"/>
      <c r="F20" s="31">
        <v>7726</v>
      </c>
      <c r="G20" s="31"/>
      <c r="H20" s="31">
        <v>402293</v>
      </c>
      <c r="I20" s="32">
        <f>H20/$H$189</f>
        <v>0.002597225669471261</v>
      </c>
      <c r="J20" s="33"/>
      <c r="K20" s="33"/>
      <c r="L20" s="33"/>
    </row>
    <row r="21" spans="1:12" s="34" customFormat="1" ht="12.75">
      <c r="A21" s="39"/>
      <c r="B21" s="39"/>
      <c r="C21" s="39"/>
      <c r="D21" s="39"/>
      <c r="E21" s="39"/>
      <c r="I21" s="32"/>
      <c r="J21" s="33"/>
      <c r="K21" s="46"/>
      <c r="L21" s="33"/>
    </row>
    <row r="22" spans="1:12" s="34" customFormat="1" ht="12.75">
      <c r="A22" s="51" t="str">
        <f>"Beverages "&amp;TEXT((H23)/$H$189,"##0.00%")</f>
        <v>Beverages 0.48%</v>
      </c>
      <c r="B22" s="51"/>
      <c r="C22" s="51"/>
      <c r="D22" s="51"/>
      <c r="E22" s="51"/>
      <c r="F22" s="31"/>
      <c r="G22" s="31"/>
      <c r="H22" s="31"/>
      <c r="I22" s="32"/>
      <c r="J22" s="33"/>
      <c r="K22" s="46"/>
      <c r="L22" s="33"/>
    </row>
    <row r="23" spans="1:12" s="34" customFormat="1" ht="12.75">
      <c r="A23" s="48" t="s">
        <v>44</v>
      </c>
      <c r="B23" s="39"/>
      <c r="C23" s="39"/>
      <c r="D23" s="39"/>
      <c r="E23" s="39"/>
      <c r="F23" s="31">
        <v>9048</v>
      </c>
      <c r="G23" s="31"/>
      <c r="H23" s="31">
        <v>750260</v>
      </c>
      <c r="I23" s="32">
        <f>H23/$H$189</f>
        <v>0.004843719703742069</v>
      </c>
      <c r="J23" s="33"/>
      <c r="K23" s="46"/>
      <c r="L23" s="33"/>
    </row>
    <row r="24" spans="1:12" s="34" customFormat="1" ht="12.75">
      <c r="A24" s="39"/>
      <c r="B24" s="39"/>
      <c r="C24" s="39"/>
      <c r="D24" s="39"/>
      <c r="E24" s="39"/>
      <c r="F24" s="31"/>
      <c r="G24" s="31"/>
      <c r="H24" s="31"/>
      <c r="I24" s="32"/>
      <c r="J24" s="33"/>
      <c r="K24" s="46"/>
      <c r="L24" s="33"/>
    </row>
    <row r="25" spans="1:12" s="34" customFormat="1" ht="12.75">
      <c r="A25" s="51" t="str">
        <f>"Biological Products, (No Diagnostic Substances) - "&amp;TEXT((H29)/$H$189,"##0.00%")</f>
        <v>Biological Products, (No Diagnostic Substances) - 3.39%</v>
      </c>
      <c r="B25" s="51"/>
      <c r="C25" s="51"/>
      <c r="D25" s="51"/>
      <c r="E25" s="51"/>
      <c r="F25" s="31"/>
      <c r="G25" s="31"/>
      <c r="H25" s="31"/>
      <c r="I25" s="32"/>
      <c r="J25" s="33"/>
      <c r="K25" s="33"/>
      <c r="L25" s="33"/>
    </row>
    <row r="26" spans="1:12" s="34" customFormat="1" ht="12.75">
      <c r="A26" s="50" t="s">
        <v>71</v>
      </c>
      <c r="B26" s="50"/>
      <c r="C26" s="50"/>
      <c r="D26" s="50"/>
      <c r="E26" s="50"/>
      <c r="F26" s="31">
        <v>16421</v>
      </c>
      <c r="G26" s="31"/>
      <c r="H26" s="31">
        <v>3020150</v>
      </c>
      <c r="I26" s="32"/>
      <c r="J26" s="33"/>
      <c r="K26" s="33"/>
      <c r="L26" s="33"/>
    </row>
    <row r="27" spans="1:12" s="34" customFormat="1" ht="12.75">
      <c r="A27" s="50" t="s">
        <v>99</v>
      </c>
      <c r="B27" s="50"/>
      <c r="C27" s="50"/>
      <c r="D27" s="50"/>
      <c r="E27" s="50"/>
      <c r="F27" s="31">
        <v>31707</v>
      </c>
      <c r="G27" s="31"/>
      <c r="H27" s="31">
        <v>2231856</v>
      </c>
      <c r="I27" s="32"/>
      <c r="J27" s="33"/>
      <c r="K27" s="33"/>
      <c r="L27" s="33"/>
    </row>
    <row r="28" spans="1:12" s="34" customFormat="1" ht="12.75">
      <c r="A28" s="52"/>
      <c r="B28" s="52"/>
      <c r="C28" s="52"/>
      <c r="D28" s="52"/>
      <c r="E28" s="52"/>
      <c r="F28" s="31"/>
      <c r="G28" s="31"/>
      <c r="H28" s="31"/>
      <c r="I28" s="32"/>
      <c r="J28" s="33"/>
      <c r="K28" s="33"/>
      <c r="L28" s="33"/>
    </row>
    <row r="29" spans="1:12" s="34" customFormat="1" ht="12.75">
      <c r="A29" s="52"/>
      <c r="B29" s="52"/>
      <c r="C29" s="52"/>
      <c r="D29" s="52"/>
      <c r="E29" s="52"/>
      <c r="F29" s="31"/>
      <c r="G29" s="31"/>
      <c r="H29" s="31">
        <f>SUM(H26:H27)</f>
        <v>5252006</v>
      </c>
      <c r="I29" s="32">
        <f>H29/$H$189</f>
        <v>0.03390723875239459</v>
      </c>
      <c r="J29" s="33"/>
      <c r="K29" s="33"/>
      <c r="L29" s="33"/>
    </row>
    <row r="30" spans="1:12" s="34" customFormat="1" ht="12.75">
      <c r="A30" s="52"/>
      <c r="B30" s="52"/>
      <c r="C30" s="52"/>
      <c r="D30" s="52"/>
      <c r="E30" s="52"/>
      <c r="F30" s="31"/>
      <c r="G30" s="31"/>
      <c r="H30" s="31"/>
      <c r="I30" s="32"/>
      <c r="J30" s="33"/>
      <c r="K30" s="33"/>
      <c r="L30" s="33"/>
    </row>
    <row r="31" spans="1:12" s="34" customFormat="1" ht="12.75">
      <c r="A31" s="51" t="str">
        <f>"Capital Goods - "&amp;TEXT((H35)/$H$189,"##0.00%")</f>
        <v>Capital Goods - 2.45%</v>
      </c>
      <c r="B31" s="51"/>
      <c r="C31" s="51"/>
      <c r="D31" s="51"/>
      <c r="E31" s="51"/>
      <c r="F31" s="31"/>
      <c r="G31" s="31"/>
      <c r="H31" s="31"/>
      <c r="I31" s="32"/>
      <c r="J31" s="33"/>
      <c r="K31" s="33"/>
      <c r="L31" s="33"/>
    </row>
    <row r="32" spans="1:12" s="34" customFormat="1" ht="12.75">
      <c r="A32" s="50" t="s">
        <v>41</v>
      </c>
      <c r="B32" s="50"/>
      <c r="C32" s="50"/>
      <c r="D32" s="50"/>
      <c r="E32" s="50"/>
      <c r="F32" s="31">
        <v>33022</v>
      </c>
      <c r="G32" s="31"/>
      <c r="H32" s="31">
        <v>2259695</v>
      </c>
      <c r="J32" s="33"/>
      <c r="K32" s="33"/>
      <c r="L32" s="33"/>
    </row>
    <row r="33" spans="1:12" s="34" customFormat="1" ht="12.75">
      <c r="A33" s="50" t="s">
        <v>100</v>
      </c>
      <c r="B33" s="50"/>
      <c r="C33" s="50"/>
      <c r="D33" s="50"/>
      <c r="E33" s="50"/>
      <c r="F33" s="31">
        <v>32979</v>
      </c>
      <c r="G33" s="31"/>
      <c r="H33" s="31">
        <v>1533524</v>
      </c>
      <c r="I33" s="32"/>
      <c r="J33" s="33"/>
      <c r="K33" s="33"/>
      <c r="L33" s="33"/>
    </row>
    <row r="34" spans="6:12" s="34" customFormat="1" ht="12.75">
      <c r="F34" s="31"/>
      <c r="G34" s="31"/>
      <c r="H34" s="31"/>
      <c r="I34" s="32"/>
      <c r="J34" s="33"/>
      <c r="K34" s="33"/>
      <c r="L34" s="33"/>
    </row>
    <row r="35" spans="1:12" s="34" customFormat="1" ht="12.75">
      <c r="A35" s="45"/>
      <c r="B35" s="45"/>
      <c r="C35" s="45"/>
      <c r="D35" s="45"/>
      <c r="E35" s="45"/>
      <c r="F35" s="31"/>
      <c r="G35" s="31"/>
      <c r="H35" s="31">
        <f>SUM(H32:H33)</f>
        <v>3793219</v>
      </c>
      <c r="I35" s="32">
        <f>H35/$H$189</f>
        <v>0.024489229881519456</v>
      </c>
      <c r="J35" s="33"/>
      <c r="K35" s="33"/>
      <c r="L35" s="33"/>
    </row>
    <row r="36" spans="1:12" s="34" customFormat="1" ht="12.75">
      <c r="A36" s="45"/>
      <c r="B36" s="45"/>
      <c r="C36" s="45"/>
      <c r="D36" s="45"/>
      <c r="E36" s="45"/>
      <c r="F36" s="31"/>
      <c r="G36" s="31"/>
      <c r="H36" s="31"/>
      <c r="I36" s="32"/>
      <c r="J36" s="33"/>
      <c r="K36" s="33"/>
      <c r="L36" s="33"/>
    </row>
    <row r="37" spans="1:12" s="34" customFormat="1" ht="12.75">
      <c r="A37" s="51" t="str">
        <f>"Electrical Work - "&amp;TEXT((H38)/$H$189,"##0.00%")</f>
        <v>Electrical Work - 2.47%</v>
      </c>
      <c r="B37" s="51"/>
      <c r="C37" s="51"/>
      <c r="D37" s="51"/>
      <c r="E37" s="51"/>
      <c r="F37" s="31"/>
      <c r="G37" s="31"/>
      <c r="H37" s="31"/>
      <c r="I37" s="32"/>
      <c r="J37" s="33"/>
      <c r="K37" s="33"/>
      <c r="L37" s="33"/>
    </row>
    <row r="38" spans="1:12" s="34" customFormat="1" ht="12" customHeight="1">
      <c r="A38" s="50" t="s">
        <v>72</v>
      </c>
      <c r="B38" s="50"/>
      <c r="C38" s="50"/>
      <c r="D38" s="50"/>
      <c r="E38" s="50"/>
      <c r="F38" s="31">
        <v>14703</v>
      </c>
      <c r="G38" s="31"/>
      <c r="H38" s="31">
        <v>3819839</v>
      </c>
      <c r="I38" s="32">
        <f>H38/$H$189</f>
        <v>0.024661090061341935</v>
      </c>
      <c r="J38" s="33"/>
      <c r="K38" s="33"/>
      <c r="L38" s="33"/>
    </row>
    <row r="39" spans="1:12" s="34" customFormat="1" ht="12.75">
      <c r="A39" s="50"/>
      <c r="B39" s="50"/>
      <c r="C39" s="50"/>
      <c r="D39" s="50"/>
      <c r="E39" s="50"/>
      <c r="F39" s="31"/>
      <c r="G39" s="31"/>
      <c r="H39" s="31"/>
      <c r="I39" s="32"/>
      <c r="J39" s="33"/>
      <c r="K39" s="33"/>
      <c r="L39" s="33"/>
    </row>
    <row r="40" spans="1:12" s="34" customFormat="1" ht="12.75">
      <c r="A40" s="51" t="str">
        <f>"Electronic Components &amp; Accessories - "&amp;TEXT((H41)/$H$189,"##0.00%")</f>
        <v>Electronic Components &amp; Accessories - 1.32%</v>
      </c>
      <c r="B40" s="51"/>
      <c r="C40" s="51"/>
      <c r="D40" s="51"/>
      <c r="E40" s="51"/>
      <c r="F40" s="31"/>
      <c r="G40" s="31"/>
      <c r="H40" s="31"/>
      <c r="I40" s="32"/>
      <c r="J40" s="33"/>
      <c r="K40" s="33"/>
      <c r="L40" s="33"/>
    </row>
    <row r="41" spans="1:12" s="34" customFormat="1" ht="12.75">
      <c r="A41" s="50" t="s">
        <v>73</v>
      </c>
      <c r="B41" s="50"/>
      <c r="C41" s="50"/>
      <c r="D41" s="50"/>
      <c r="E41" s="50"/>
      <c r="F41" s="31">
        <v>12095</v>
      </c>
      <c r="G41" s="31"/>
      <c r="H41" s="31">
        <v>2037403</v>
      </c>
      <c r="I41" s="32">
        <f>H41/$H$189</f>
        <v>0.013153585497778373</v>
      </c>
      <c r="J41" s="33"/>
      <c r="K41" s="33"/>
      <c r="L41" s="33"/>
    </row>
    <row r="42" spans="6:12" s="34" customFormat="1" ht="12.75">
      <c r="F42" s="31"/>
      <c r="G42" s="31"/>
      <c r="H42" s="31"/>
      <c r="I42" s="32"/>
      <c r="J42" s="33"/>
      <c r="K42" s="33"/>
      <c r="L42" s="33"/>
    </row>
    <row r="43" spans="1:12" s="34" customFormat="1" ht="12.75">
      <c r="A43" s="51" t="str">
        <f>"Fabricated Rubber Products, Nec - "&amp;TEXT((H44)/$H$189,"##0.00%")</f>
        <v>Fabricated Rubber Products, Nec - 1.15%</v>
      </c>
      <c r="B43" s="51"/>
      <c r="C43" s="51"/>
      <c r="D43" s="51"/>
      <c r="E43" s="51"/>
      <c r="F43" s="31"/>
      <c r="G43" s="31"/>
      <c r="H43" s="31"/>
      <c r="I43" s="32"/>
      <c r="J43" s="33"/>
      <c r="K43" s="33"/>
      <c r="L43" s="33"/>
    </row>
    <row r="44" spans="1:12" s="34" customFormat="1" ht="12.75">
      <c r="A44" s="50" t="s">
        <v>45</v>
      </c>
      <c r="B44" s="50"/>
      <c r="C44" s="50"/>
      <c r="D44" s="50"/>
      <c r="E44" s="50"/>
      <c r="F44" s="31">
        <v>4504</v>
      </c>
      <c r="G44" s="31"/>
      <c r="H44" s="31">
        <v>1782278</v>
      </c>
      <c r="I44" s="32">
        <f>H44/$H$189</f>
        <v>0.01150648450689895</v>
      </c>
      <c r="J44" s="33"/>
      <c r="K44" s="33"/>
      <c r="L44" s="33"/>
    </row>
    <row r="45" spans="1:12" s="34" customFormat="1" ht="12.75">
      <c r="A45" s="50"/>
      <c r="B45" s="50"/>
      <c r="C45" s="50"/>
      <c r="D45" s="50"/>
      <c r="E45" s="50"/>
      <c r="F45" s="31"/>
      <c r="G45" s="31"/>
      <c r="H45" s="31"/>
      <c r="I45" s="32"/>
      <c r="J45" s="33"/>
      <c r="K45" s="33"/>
      <c r="L45" s="33"/>
    </row>
    <row r="46" spans="1:12" s="34" customFormat="1" ht="12.75">
      <c r="A46" s="51" t="str">
        <f>"General Industrial Machinery &amp; Equipment - "&amp;TEXT((H47)/$H$189,"##0.00%")</f>
        <v>General Industrial Machinery &amp; Equipment - 0.95%</v>
      </c>
      <c r="B46" s="51"/>
      <c r="C46" s="51"/>
      <c r="D46" s="51"/>
      <c r="E46" s="51"/>
      <c r="F46" s="31"/>
      <c r="G46" s="31"/>
      <c r="H46" s="31"/>
      <c r="I46" s="32"/>
      <c r="J46" s="33"/>
      <c r="K46" s="33"/>
      <c r="L46" s="33"/>
    </row>
    <row r="47" spans="1:12" s="34" customFormat="1" ht="12.75">
      <c r="A47" s="50" t="s">
        <v>52</v>
      </c>
      <c r="B47" s="50"/>
      <c r="C47" s="50"/>
      <c r="D47" s="50"/>
      <c r="E47" s="50"/>
      <c r="F47" s="31">
        <v>4891</v>
      </c>
      <c r="G47" s="31"/>
      <c r="H47" s="31">
        <v>1474343</v>
      </c>
      <c r="I47" s="32">
        <f>H47/$H$189</f>
        <v>0.009518439259955472</v>
      </c>
      <c r="J47" s="33"/>
      <c r="K47" s="33"/>
      <c r="L47" s="33"/>
    </row>
    <row r="48" spans="1:12" s="34" customFormat="1" ht="12.75">
      <c r="A48" s="39"/>
      <c r="B48" s="39"/>
      <c r="C48" s="39"/>
      <c r="D48" s="39"/>
      <c r="E48" s="39"/>
      <c r="F48" s="31"/>
      <c r="G48" s="31"/>
      <c r="H48" s="31"/>
      <c r="I48" s="32"/>
      <c r="J48" s="33"/>
      <c r="K48" s="33"/>
      <c r="L48" s="33"/>
    </row>
    <row r="49" spans="1:12" s="34" customFormat="1" ht="12.75">
      <c r="A49" s="51" t="str">
        <f>"Health Care Equipment &amp; Services - "&amp;TEXT((H50)/$H$189,"##0.00%")</f>
        <v>Health Care Equipment &amp; Services - 0.94%</v>
      </c>
      <c r="B49" s="51"/>
      <c r="C49" s="51"/>
      <c r="D49" s="51"/>
      <c r="E49" s="51"/>
      <c r="F49" s="31"/>
      <c r="G49" s="31"/>
      <c r="H49" s="31"/>
      <c r="I49" s="32"/>
      <c r="J49" s="33"/>
      <c r="K49" s="33"/>
      <c r="L49" s="33"/>
    </row>
    <row r="50" spans="1:12" s="34" customFormat="1" ht="12.75">
      <c r="A50" s="50" t="s">
        <v>53</v>
      </c>
      <c r="B50" s="50"/>
      <c r="C50" s="50"/>
      <c r="D50" s="50"/>
      <c r="E50" s="50"/>
      <c r="F50" s="31">
        <v>6792</v>
      </c>
      <c r="G50" s="31"/>
      <c r="H50" s="31">
        <v>1458854</v>
      </c>
      <c r="I50" s="32">
        <f>H50/$H$189</f>
        <v>0.009418441426549372</v>
      </c>
      <c r="J50" s="33"/>
      <c r="K50" s="33"/>
      <c r="L50" s="33"/>
    </row>
    <row r="51" spans="1:12" s="34" customFormat="1" ht="12.75">
      <c r="A51" s="39"/>
      <c r="B51" s="39"/>
      <c r="C51" s="39"/>
      <c r="D51" s="39"/>
      <c r="E51" s="39"/>
      <c r="F51" s="31"/>
      <c r="G51" s="31"/>
      <c r="H51" s="31"/>
      <c r="I51" s="32"/>
      <c r="J51" s="33"/>
      <c r="K51" s="33"/>
      <c r="L51" s="33"/>
    </row>
    <row r="52" spans="1:12" s="34" customFormat="1" ht="12.75">
      <c r="A52" s="51" t="str">
        <f>"GE HealthCare Technologies Inc. - "&amp;TEXT((H53)/$H$189,"##0.00%")</f>
        <v>GE HealthCare Technologies Inc. - 1.14%</v>
      </c>
      <c r="B52" s="51"/>
      <c r="C52" s="51"/>
      <c r="D52" s="51"/>
      <c r="E52" s="51"/>
      <c r="F52" s="31"/>
      <c r="G52" s="31"/>
      <c r="H52" s="31"/>
      <c r="I52" s="32"/>
      <c r="J52" s="33"/>
      <c r="K52" s="33"/>
      <c r="L52" s="33"/>
    </row>
    <row r="53" spans="1:12" s="34" customFormat="1" ht="12.75">
      <c r="A53" s="50" t="s">
        <v>60</v>
      </c>
      <c r="B53" s="50"/>
      <c r="C53" s="50"/>
      <c r="D53" s="50"/>
      <c r="E53" s="50"/>
      <c r="F53" s="31">
        <v>19493</v>
      </c>
      <c r="G53" s="31"/>
      <c r="H53" s="31">
        <v>1772109</v>
      </c>
      <c r="I53" s="32">
        <f>H53/$H$189</f>
        <v>0.011440832885237989</v>
      </c>
      <c r="J53" s="33"/>
      <c r="K53" s="33"/>
      <c r="L53" s="33"/>
    </row>
    <row r="54" spans="1:12" s="34" customFormat="1" ht="12.75">
      <c r="A54" s="39"/>
      <c r="B54" s="39"/>
      <c r="C54" s="39"/>
      <c r="D54" s="39"/>
      <c r="E54" s="39"/>
      <c r="F54" s="31"/>
      <c r="G54" s="31"/>
      <c r="H54" s="31"/>
      <c r="I54" s="32"/>
      <c r="J54" s="33"/>
      <c r="K54" s="33"/>
      <c r="L54" s="33"/>
    </row>
    <row r="55" spans="1:12" s="34" customFormat="1" ht="12.75">
      <c r="A55" s="51" t="str">
        <f>"Household Appliances - "&amp;TEXT((H56)/$H$189,"##0.00%")</f>
        <v>Household Appliances - 1.56%</v>
      </c>
      <c r="B55" s="51"/>
      <c r="C55" s="51"/>
      <c r="D55" s="51"/>
      <c r="E55" s="51"/>
      <c r="F55" s="31"/>
      <c r="G55" s="31"/>
      <c r="H55" s="31"/>
      <c r="I55" s="32"/>
      <c r="J55" s="33"/>
      <c r="K55" s="33"/>
      <c r="L55" s="33"/>
    </row>
    <row r="56" spans="1:12" s="34" customFormat="1" ht="12.75">
      <c r="A56" s="50" t="s">
        <v>58</v>
      </c>
      <c r="B56" s="50"/>
      <c r="C56" s="50"/>
      <c r="D56" s="50"/>
      <c r="E56" s="50"/>
      <c r="F56" s="31">
        <v>26954</v>
      </c>
      <c r="G56" s="31"/>
      <c r="H56" s="31">
        <v>2411305</v>
      </c>
      <c r="I56" s="32">
        <f>H56/$H$189</f>
        <v>0.015567517314306733</v>
      </c>
      <c r="J56" s="33"/>
      <c r="K56" s="33"/>
      <c r="L56" s="33"/>
    </row>
    <row r="57" spans="1:12" s="34" customFormat="1" ht="12.75">
      <c r="A57" s="50"/>
      <c r="B57" s="50"/>
      <c r="C57" s="50"/>
      <c r="D57" s="50"/>
      <c r="E57" s="50"/>
      <c r="F57" s="31"/>
      <c r="G57" s="31"/>
      <c r="H57" s="31"/>
      <c r="I57" s="32"/>
      <c r="J57" s="33"/>
      <c r="K57" s="33"/>
      <c r="L57" s="33"/>
    </row>
    <row r="58" spans="1:12" s="34" customFormat="1" ht="12.75">
      <c r="A58" s="51" t="str">
        <f>"In Vitro &amp; In Vivo Diagnostic Substances - "&amp;TEXT((H59)/$H$189,"##0.00%")</f>
        <v>In Vitro &amp; In Vivo Diagnostic Substances - 1.63%</v>
      </c>
      <c r="B58" s="51"/>
      <c r="C58" s="51"/>
      <c r="D58" s="51"/>
      <c r="E58" s="51"/>
      <c r="F58" s="31"/>
      <c r="G58" s="31"/>
      <c r="H58" s="31"/>
      <c r="I58" s="32"/>
      <c r="J58" s="33"/>
      <c r="K58" s="33"/>
      <c r="L58" s="33"/>
    </row>
    <row r="59" spans="1:12" s="34" customFormat="1" ht="12.75">
      <c r="A59" s="50" t="s">
        <v>54</v>
      </c>
      <c r="B59" s="50"/>
      <c r="C59" s="50"/>
      <c r="D59" s="50"/>
      <c r="E59" s="50"/>
      <c r="F59" s="31">
        <v>4686</v>
      </c>
      <c r="G59" s="31"/>
      <c r="H59" s="31">
        <v>2530112</v>
      </c>
      <c r="I59" s="32">
        <f>H59/$H$189</f>
        <v>0.01633454182160085</v>
      </c>
      <c r="J59" s="33"/>
      <c r="K59" s="33"/>
      <c r="L59" s="33"/>
    </row>
    <row r="60" spans="1:12" s="34" customFormat="1" ht="12.75">
      <c r="A60" s="39"/>
      <c r="B60" s="39"/>
      <c r="C60" s="39"/>
      <c r="D60" s="39"/>
      <c r="E60" s="39"/>
      <c r="F60" s="31"/>
      <c r="G60" s="31"/>
      <c r="H60" s="31"/>
      <c r="I60" s="32"/>
      <c r="J60" s="33"/>
      <c r="K60" s="33"/>
      <c r="L60" s="33"/>
    </row>
    <row r="61" spans="1:12" s="34" customFormat="1" ht="12.75">
      <c r="A61" s="51" t="str">
        <f>"Industrial Instruments For Measurement, Display, &amp; Control- "&amp;TEXT((H62)/$H$189,"##0.00%")</f>
        <v>Industrial Instruments For Measurement, Display, &amp; Control- 1.60%</v>
      </c>
      <c r="B61" s="51"/>
      <c r="C61" s="51"/>
      <c r="D61" s="51"/>
      <c r="E61" s="51"/>
      <c r="F61" s="31"/>
      <c r="G61" s="31"/>
      <c r="H61" s="31"/>
      <c r="I61" s="32"/>
      <c r="J61" s="33"/>
      <c r="K61" s="33"/>
      <c r="L61" s="33"/>
    </row>
    <row r="62" spans="1:12" s="34" customFormat="1" ht="12.75">
      <c r="A62" s="50" t="s">
        <v>74</v>
      </c>
      <c r="B62" s="50"/>
      <c r="C62" s="50"/>
      <c r="D62" s="50"/>
      <c r="E62" s="50"/>
      <c r="F62" s="31">
        <v>15830</v>
      </c>
      <c r="G62" s="31"/>
      <c r="H62" s="31">
        <v>2475495</v>
      </c>
      <c r="I62" s="32">
        <f>H62/$H$189</f>
        <v>0.015981931474442157</v>
      </c>
      <c r="J62" s="33"/>
      <c r="K62" s="33"/>
      <c r="L62" s="33"/>
    </row>
    <row r="63" spans="1:12" s="34" customFormat="1" ht="12.75">
      <c r="A63" s="52"/>
      <c r="B63" s="52"/>
      <c r="C63" s="52"/>
      <c r="D63" s="52"/>
      <c r="E63" s="52"/>
      <c r="F63" s="31"/>
      <c r="G63" s="31"/>
      <c r="H63" s="31"/>
      <c r="I63" s="32"/>
      <c r="J63" s="33"/>
      <c r="K63" s="33"/>
      <c r="L63" s="33"/>
    </row>
    <row r="64" spans="1:12" s="34" customFormat="1" ht="12.75">
      <c r="A64" s="51" t="str">
        <f>"Instruments For Meas &amp; Testing of Electricity &amp; Electric Signals - "&amp;TEXT((H65)/$H$189,"##0.00%")</f>
        <v>Instruments For Meas &amp; Testing of Electricity &amp; Electric Signals - 2.03%</v>
      </c>
      <c r="B64" s="51"/>
      <c r="C64" s="51"/>
      <c r="D64" s="51"/>
      <c r="E64" s="51"/>
      <c r="F64" s="31"/>
      <c r="G64" s="31"/>
      <c r="H64" s="31"/>
      <c r="I64" s="32"/>
      <c r="J64" s="33"/>
      <c r="K64" s="33"/>
      <c r="L64" s="33"/>
    </row>
    <row r="65" spans="1:12" s="34" customFormat="1" ht="12.75">
      <c r="A65" s="50" t="s">
        <v>75</v>
      </c>
      <c r="B65" s="50"/>
      <c r="C65" s="50"/>
      <c r="D65" s="50"/>
      <c r="E65" s="50"/>
      <c r="F65" s="31">
        <v>27876</v>
      </c>
      <c r="G65" s="31"/>
      <c r="H65" s="31">
        <v>3145249</v>
      </c>
      <c r="I65" s="32">
        <f>H65/$H$189</f>
        <v>0.02030590002729059</v>
      </c>
      <c r="J65" s="33"/>
      <c r="K65" s="33"/>
      <c r="L65" s="33"/>
    </row>
    <row r="66" spans="1:12" s="34" customFormat="1" ht="12.75">
      <c r="A66" s="50"/>
      <c r="B66" s="50"/>
      <c r="C66" s="50"/>
      <c r="D66" s="50"/>
      <c r="E66" s="50"/>
      <c r="F66" s="31"/>
      <c r="G66" s="31"/>
      <c r="H66" s="31"/>
      <c r="I66" s="32"/>
      <c r="J66" s="33"/>
      <c r="K66" s="33"/>
      <c r="L66" s="33"/>
    </row>
    <row r="67" spans="1:12" s="34" customFormat="1" ht="12.75">
      <c r="A67" s="51" t="str">
        <f>"Laboratory Analytical Instruments - "&amp;TEXT((H71)/$H$189,"##0.00%")</f>
        <v>Laboratory Analytical Instruments - 2.22%</v>
      </c>
      <c r="B67" s="51"/>
      <c r="C67" s="51"/>
      <c r="D67" s="51"/>
      <c r="E67" s="51"/>
      <c r="F67" s="31"/>
      <c r="G67" s="31"/>
      <c r="H67" s="31"/>
      <c r="I67" s="32"/>
      <c r="J67" s="33"/>
      <c r="K67" s="33"/>
      <c r="L67" s="33"/>
    </row>
    <row r="68" spans="1:12" s="34" customFormat="1" ht="12.75">
      <c r="A68" s="50" t="s">
        <v>59</v>
      </c>
      <c r="B68" s="50"/>
      <c r="C68" s="50"/>
      <c r="D68" s="50"/>
      <c r="E68" s="50"/>
      <c r="F68" s="31">
        <v>13208</v>
      </c>
      <c r="G68" s="31"/>
      <c r="H68" s="31">
        <v>1921896</v>
      </c>
      <c r="I68" s="32"/>
      <c r="J68" s="33"/>
      <c r="K68" s="33"/>
      <c r="L68" s="33"/>
    </row>
    <row r="69" spans="1:12" s="34" customFormat="1" ht="12.75">
      <c r="A69" s="50" t="s">
        <v>46</v>
      </c>
      <c r="B69" s="50"/>
      <c r="C69" s="50"/>
      <c r="D69" s="50"/>
      <c r="E69" s="50"/>
      <c r="F69" s="31">
        <v>1138</v>
      </c>
      <c r="G69" s="31"/>
      <c r="H69" s="31">
        <v>1515008</v>
      </c>
      <c r="I69" s="32"/>
      <c r="J69" s="33"/>
      <c r="K69" s="33"/>
      <c r="L69" s="33"/>
    </row>
    <row r="70" spans="1:12" s="34" customFormat="1" ht="12.75">
      <c r="A70" s="47"/>
      <c r="B70" s="39"/>
      <c r="C70" s="39"/>
      <c r="D70" s="39"/>
      <c r="E70" s="39"/>
      <c r="F70" s="31"/>
      <c r="G70" s="31"/>
      <c r="H70" s="31"/>
      <c r="I70" s="32"/>
      <c r="J70" s="33"/>
      <c r="K70" s="33"/>
      <c r="L70" s="33"/>
    </row>
    <row r="71" spans="1:12" s="34" customFormat="1" ht="12.75">
      <c r="A71" s="47"/>
      <c r="B71" s="39"/>
      <c r="C71" s="39"/>
      <c r="D71" s="39"/>
      <c r="E71" s="39"/>
      <c r="F71" s="31"/>
      <c r="G71" s="31"/>
      <c r="H71" s="31">
        <f>SUM(H68:H70)</f>
        <v>3436904</v>
      </c>
      <c r="I71" s="32">
        <f>H71/$H$189</f>
        <v>0.022188840701450073</v>
      </c>
      <c r="J71" s="33"/>
      <c r="K71" s="33"/>
      <c r="L71" s="33"/>
    </row>
    <row r="72" spans="1:12" s="34" customFormat="1" ht="12.75">
      <c r="A72" s="47"/>
      <c r="B72" s="39"/>
      <c r="C72" s="39"/>
      <c r="D72" s="39"/>
      <c r="E72" s="39"/>
      <c r="F72" s="31"/>
      <c r="G72" s="31"/>
      <c r="H72" s="31"/>
      <c r="I72" s="32"/>
      <c r="J72" s="33"/>
      <c r="K72" s="33"/>
      <c r="L72" s="33"/>
    </row>
    <row r="73" spans="1:12" s="34" customFormat="1" ht="12.75">
      <c r="A73" s="51" t="str">
        <f>"Lumber &amp; Wood Products (No Furniture) - "&amp;TEXT((H74)/$H$189,"##0.00%")</f>
        <v>Lumber &amp; Wood Products (No Furniture) - 2.46%</v>
      </c>
      <c r="B73" s="51"/>
      <c r="C73" s="51"/>
      <c r="D73" s="51"/>
      <c r="E73" s="51"/>
      <c r="F73" s="31"/>
      <c r="G73" s="31"/>
      <c r="H73" s="31"/>
      <c r="I73" s="32"/>
      <c r="J73" s="33"/>
      <c r="K73" s="33"/>
      <c r="L73" s="33"/>
    </row>
    <row r="74" spans="1:12" s="34" customFormat="1" ht="12.75">
      <c r="A74" s="50" t="s">
        <v>101</v>
      </c>
      <c r="B74" s="50"/>
      <c r="C74" s="50"/>
      <c r="D74" s="50"/>
      <c r="E74" s="50"/>
      <c r="F74" s="31">
        <v>38230</v>
      </c>
      <c r="G74" s="31"/>
      <c r="H74" s="31">
        <v>3813443</v>
      </c>
      <c r="I74" s="32">
        <f>H74/$H$189</f>
        <v>0.024619797134589696</v>
      </c>
      <c r="J74" s="33"/>
      <c r="K74" s="33"/>
      <c r="L74" s="33"/>
    </row>
    <row r="75" spans="1:12" s="34" customFormat="1" ht="12.75">
      <c r="A75" s="50"/>
      <c r="B75" s="50"/>
      <c r="C75" s="50"/>
      <c r="D75" s="50"/>
      <c r="E75" s="50"/>
      <c r="F75" s="31"/>
      <c r="G75" s="31"/>
      <c r="H75" s="31"/>
      <c r="I75" s="32"/>
      <c r="J75" s="33"/>
      <c r="K75" s="33"/>
      <c r="L75" s="33"/>
    </row>
    <row r="76" spans="1:12" s="34" customFormat="1" ht="12.75">
      <c r="A76" s="51" t="str">
        <f>"Measuring &amp; Controlling Devices  - "&amp;TEXT((H77)/$H$189,"##0.00%")</f>
        <v>Measuring &amp; Controlling Devices  - 1.54%</v>
      </c>
      <c r="B76" s="51"/>
      <c r="C76" s="51"/>
      <c r="D76" s="51"/>
      <c r="E76" s="51"/>
      <c r="F76" s="31"/>
      <c r="G76" s="31"/>
      <c r="H76" s="31"/>
      <c r="I76" s="32"/>
      <c r="J76" s="33"/>
      <c r="K76" s="33"/>
      <c r="L76" s="33"/>
    </row>
    <row r="77" spans="1:12" s="34" customFormat="1" ht="12.75">
      <c r="A77" s="50" t="s">
        <v>102</v>
      </c>
      <c r="B77" s="50"/>
      <c r="C77" s="50"/>
      <c r="D77" s="50"/>
      <c r="E77" s="50"/>
      <c r="F77" s="31">
        <v>37007</v>
      </c>
      <c r="G77" s="31"/>
      <c r="H77" s="31">
        <v>2381771</v>
      </c>
      <c r="I77" s="32">
        <f>H77/$H$189</f>
        <v>0.015376844190682498</v>
      </c>
      <c r="J77" s="33"/>
      <c r="K77" s="33"/>
      <c r="L77" s="33"/>
    </row>
    <row r="78" spans="1:12" s="34" customFormat="1" ht="12.75">
      <c r="A78" s="50"/>
      <c r="B78" s="50"/>
      <c r="C78" s="50"/>
      <c r="D78" s="50"/>
      <c r="E78" s="50"/>
      <c r="F78" s="31"/>
      <c r="G78" s="31"/>
      <c r="H78" s="31"/>
      <c r="I78" s="32"/>
      <c r="J78" s="33"/>
      <c r="K78" s="33"/>
      <c r="L78" s="33"/>
    </row>
    <row r="79" spans="1:12" s="34" customFormat="1" ht="12.75">
      <c r="A79" s="51" t="str">
        <f>"Metalworking Machinery &amp; Equipment - "&amp;TEXT((H80)/$H$189,"##0.00%")</f>
        <v>Metalworking Machinery &amp; Equipment - 1.28%</v>
      </c>
      <c r="B79" s="51"/>
      <c r="C79" s="51"/>
      <c r="D79" s="51"/>
      <c r="E79" s="51"/>
      <c r="F79" s="31"/>
      <c r="G79" s="31"/>
      <c r="H79" s="31"/>
      <c r="I79" s="32"/>
      <c r="J79" s="33"/>
      <c r="K79" s="33"/>
      <c r="L79" s="33"/>
    </row>
    <row r="80" spans="1:12" s="34" customFormat="1" ht="12.75">
      <c r="A80" s="50" t="s">
        <v>97</v>
      </c>
      <c r="B80" s="50"/>
      <c r="C80" s="50"/>
      <c r="D80" s="50"/>
      <c r="E80" s="50"/>
      <c r="F80" s="31">
        <v>7778</v>
      </c>
      <c r="G80" s="31"/>
      <c r="H80" s="31">
        <v>1986812</v>
      </c>
      <c r="I80" s="32">
        <f>H80/$H$189</f>
        <v>0.01282696722740275</v>
      </c>
      <c r="J80" s="33"/>
      <c r="K80" s="33"/>
      <c r="L80" s="33"/>
    </row>
    <row r="81" spans="1:12" s="34" customFormat="1" ht="12.75">
      <c r="A81" s="50"/>
      <c r="B81" s="50"/>
      <c r="C81" s="50"/>
      <c r="D81" s="50"/>
      <c r="E81" s="50"/>
      <c r="F81" s="31"/>
      <c r="G81" s="31"/>
      <c r="H81" s="31"/>
      <c r="I81" s="32"/>
      <c r="J81" s="33"/>
      <c r="K81" s="33"/>
      <c r="L81" s="33"/>
    </row>
    <row r="82" spans="1:12" s="34" customFormat="1" ht="12.75">
      <c r="A82" s="51" t="str">
        <f>"Mining &amp; Quarrying of Nonmetallic Minerals (No Fuels) - "&amp;TEXT((H83)/$H$189,"##0.00%")</f>
        <v>Mining &amp; Quarrying of Nonmetallic Minerals (No Fuels) - 1.45%</v>
      </c>
      <c r="B82" s="51"/>
      <c r="C82" s="51"/>
      <c r="D82" s="51"/>
      <c r="E82" s="51"/>
      <c r="F82" s="31"/>
      <c r="G82" s="31"/>
      <c r="H82" s="31"/>
      <c r="I82" s="32"/>
      <c r="J82" s="33"/>
      <c r="K82" s="33"/>
      <c r="L82" s="33"/>
    </row>
    <row r="83" spans="1:12" s="34" customFormat="1" ht="12.75">
      <c r="A83" s="50" t="s">
        <v>76</v>
      </c>
      <c r="B83" s="50"/>
      <c r="C83" s="50"/>
      <c r="D83" s="50"/>
      <c r="E83" s="50"/>
      <c r="F83" s="31">
        <v>3666</v>
      </c>
      <c r="G83" s="31"/>
      <c r="H83" s="31">
        <v>2250704</v>
      </c>
      <c r="I83" s="32">
        <f>H83/$H$189</f>
        <v>0.014530668451058418</v>
      </c>
      <c r="J83" s="33"/>
      <c r="K83" s="33"/>
      <c r="L83" s="33"/>
    </row>
    <row r="84" spans="1:12" s="34" customFormat="1" ht="12.75">
      <c r="A84" s="39"/>
      <c r="B84" s="39"/>
      <c r="C84" s="39"/>
      <c r="D84" s="39"/>
      <c r="E84" s="39"/>
      <c r="F84" s="31"/>
      <c r="G84" s="31"/>
      <c r="H84" s="31"/>
      <c r="I84" s="32"/>
      <c r="J84" s="33"/>
      <c r="K84" s="33"/>
      <c r="L84" s="33"/>
    </row>
    <row r="85" spans="1:12" s="34" customFormat="1" ht="12.75">
      <c r="A85" s="51" t="str">
        <f>"Miscellaneous Electrical Machinery, Equipment &amp; Supplies - "&amp;TEXT((H86)/$H$189,"##0.00%")</f>
        <v>Miscellaneous Electrical Machinery, Equipment &amp; Supplies - 0.93%</v>
      </c>
      <c r="B85" s="51"/>
      <c r="C85" s="51"/>
      <c r="D85" s="51"/>
      <c r="E85" s="51"/>
      <c r="F85" s="31"/>
      <c r="G85" s="31"/>
      <c r="H85" s="31"/>
      <c r="I85" s="32"/>
      <c r="J85" s="33"/>
      <c r="K85" s="33"/>
      <c r="L85" s="33"/>
    </row>
    <row r="86" spans="1:12" s="34" customFormat="1" ht="12.75">
      <c r="A86" s="50" t="s">
        <v>98</v>
      </c>
      <c r="B86" s="50"/>
      <c r="C86" s="50"/>
      <c r="D86" s="50"/>
      <c r="E86" s="50"/>
      <c r="F86" s="31">
        <v>8225</v>
      </c>
      <c r="G86" s="31"/>
      <c r="H86" s="31">
        <v>1437483</v>
      </c>
      <c r="I86" s="32">
        <f>H86/$H$189</f>
        <v>0.00928046907857844</v>
      </c>
      <c r="J86" s="33"/>
      <c r="K86" s="33"/>
      <c r="L86" s="33"/>
    </row>
    <row r="87" spans="1:12" s="34" customFormat="1" ht="12.75">
      <c r="A87" s="39"/>
      <c r="B87" s="39"/>
      <c r="C87" s="39"/>
      <c r="D87" s="39"/>
      <c r="E87" s="39"/>
      <c r="F87" s="31"/>
      <c r="G87" s="31"/>
      <c r="H87" s="31"/>
      <c r="I87" s="32"/>
      <c r="J87" s="33"/>
      <c r="K87" s="33"/>
      <c r="L87" s="33"/>
    </row>
    <row r="88" spans="1:12" s="34" customFormat="1" ht="12.75">
      <c r="A88" s="51" t="str">
        <f>"Motors &amp; Generators - "&amp;TEXT((H89)/$H$189,"##0.00%")</f>
        <v>Motors &amp; Generators - 1.48%</v>
      </c>
      <c r="B88" s="51"/>
      <c r="C88" s="51"/>
      <c r="D88" s="51"/>
      <c r="E88" s="51"/>
      <c r="F88" s="31"/>
      <c r="G88" s="31"/>
      <c r="H88" s="31"/>
      <c r="I88" s="32"/>
      <c r="J88" s="33"/>
      <c r="K88" s="33"/>
      <c r="L88" s="33"/>
    </row>
    <row r="89" spans="1:12" s="34" customFormat="1" ht="12.75">
      <c r="A89" s="50" t="s">
        <v>77</v>
      </c>
      <c r="B89" s="50"/>
      <c r="C89" s="50"/>
      <c r="D89" s="50"/>
      <c r="E89" s="50"/>
      <c r="F89" s="31">
        <v>18160</v>
      </c>
      <c r="G89" s="31"/>
      <c r="H89" s="31">
        <v>2290702</v>
      </c>
      <c r="I89" s="32">
        <f>H89/$H$189</f>
        <v>0.014788897732521213</v>
      </c>
      <c r="J89" s="33"/>
      <c r="K89" s="33"/>
      <c r="L89" s="33"/>
    </row>
    <row r="90" spans="1:12" s="34" customFormat="1" ht="12.75">
      <c r="A90" s="39"/>
      <c r="B90" s="39"/>
      <c r="C90" s="39"/>
      <c r="D90" s="39"/>
      <c r="E90" s="39"/>
      <c r="F90" s="31"/>
      <c r="G90" s="31"/>
      <c r="H90" s="31"/>
      <c r="I90" s="32"/>
      <c r="J90" s="33"/>
      <c r="K90" s="33"/>
      <c r="L90" s="33"/>
    </row>
    <row r="91" spans="1:12" s="34" customFormat="1" ht="12.75">
      <c r="A91" s="51" t="str">
        <f>"Ophthalmic Goods - "&amp;TEXT((H95)/$H$189,"##0.00%")</f>
        <v>Ophthalmic Goods - 1.89%</v>
      </c>
      <c r="B91" s="51"/>
      <c r="C91" s="51"/>
      <c r="D91" s="51"/>
      <c r="E91" s="51"/>
      <c r="F91" s="31"/>
      <c r="G91" s="31"/>
      <c r="H91" s="31"/>
      <c r="I91" s="32"/>
      <c r="J91" s="33"/>
      <c r="K91" s="33"/>
      <c r="L91" s="33"/>
    </row>
    <row r="92" spans="1:12" s="34" customFormat="1" ht="12.75">
      <c r="A92" s="50" t="s">
        <v>78</v>
      </c>
      <c r="B92" s="50"/>
      <c r="C92" s="50"/>
      <c r="D92" s="50"/>
      <c r="E92" s="50"/>
      <c r="F92" s="31">
        <v>43647</v>
      </c>
      <c r="G92" s="31"/>
      <c r="H92" s="31">
        <v>967218</v>
      </c>
      <c r="I92" s="32"/>
      <c r="J92" s="33"/>
      <c r="K92" s="33"/>
      <c r="L92" s="33"/>
    </row>
    <row r="93" spans="1:12" s="34" customFormat="1" ht="12.75">
      <c r="A93" s="50" t="s">
        <v>79</v>
      </c>
      <c r="B93" s="50"/>
      <c r="C93" s="50"/>
      <c r="D93" s="50"/>
      <c r="E93" s="50"/>
      <c r="F93" s="31">
        <v>19336</v>
      </c>
      <c r="G93" s="31"/>
      <c r="H93" s="31">
        <v>1961831</v>
      </c>
      <c r="I93" s="32"/>
      <c r="J93" s="33"/>
      <c r="K93" s="33"/>
      <c r="L93" s="33"/>
    </row>
    <row r="94" spans="1:12" s="34" customFormat="1" ht="12.75">
      <c r="A94" s="50"/>
      <c r="B94" s="50"/>
      <c r="C94" s="50"/>
      <c r="D94" s="50"/>
      <c r="E94" s="50"/>
      <c r="F94" s="31"/>
      <c r="G94" s="31"/>
      <c r="H94" s="31"/>
      <c r="I94" s="32"/>
      <c r="J94" s="33"/>
      <c r="K94" s="33"/>
      <c r="L94" s="33"/>
    </row>
    <row r="95" spans="1:12" s="34" customFormat="1" ht="12.75">
      <c r="A95" s="50"/>
      <c r="B95" s="50"/>
      <c r="C95" s="50"/>
      <c r="D95" s="50"/>
      <c r="E95" s="50"/>
      <c r="F95" s="31"/>
      <c r="G95" s="31"/>
      <c r="H95" s="31">
        <f>SUM(H92:H94)</f>
        <v>2929049</v>
      </c>
      <c r="I95" s="32">
        <f>H95/$H$189</f>
        <v>0.01891010097103138</v>
      </c>
      <c r="J95" s="33"/>
      <c r="K95" s="33"/>
      <c r="L95" s="33"/>
    </row>
    <row r="96" spans="1:12" s="34" customFormat="1" ht="12.75">
      <c r="A96" s="50"/>
      <c r="B96" s="50"/>
      <c r="C96" s="50"/>
      <c r="D96" s="50"/>
      <c r="E96" s="50"/>
      <c r="F96" s="31"/>
      <c r="G96" s="31"/>
      <c r="H96" s="31"/>
      <c r="I96" s="32"/>
      <c r="J96" s="33"/>
      <c r="K96" s="33"/>
      <c r="L96" s="33"/>
    </row>
    <row r="97" spans="1:12" s="34" customFormat="1" ht="12.75">
      <c r="A97" s="51" t="str">
        <f>"Optical Instruments &amp; Lenses - "&amp;TEXT((H98)/$H$189,"##0.00%")</f>
        <v>Optical Instruments &amp; Lenses - 1.70%</v>
      </c>
      <c r="B97" s="51"/>
      <c r="C97" s="51"/>
      <c r="D97" s="51"/>
      <c r="E97" s="51"/>
      <c r="F97" s="31"/>
      <c r="G97" s="31"/>
      <c r="H97" s="31"/>
      <c r="I97" s="32"/>
      <c r="J97" s="33"/>
      <c r="K97" s="33"/>
      <c r="L97" s="33"/>
    </row>
    <row r="98" spans="1:12" s="34" customFormat="1" ht="12.75">
      <c r="A98" s="50" t="s">
        <v>61</v>
      </c>
      <c r="B98" s="50"/>
      <c r="C98" s="50"/>
      <c r="D98" s="50"/>
      <c r="E98" s="50"/>
      <c r="F98" s="31">
        <v>3775</v>
      </c>
      <c r="G98" s="31"/>
      <c r="H98" s="31">
        <v>2637102</v>
      </c>
      <c r="I98" s="32">
        <f>H98/$H$189</f>
        <v>0.01702527512885882</v>
      </c>
      <c r="J98" s="33"/>
      <c r="K98" s="33"/>
      <c r="L98" s="33"/>
    </row>
    <row r="99" spans="1:12" s="34" customFormat="1" ht="12.75">
      <c r="A99" s="50"/>
      <c r="B99" s="50"/>
      <c r="C99" s="50"/>
      <c r="D99" s="50"/>
      <c r="E99" s="50"/>
      <c r="F99" s="31"/>
      <c r="G99" s="31"/>
      <c r="H99" s="31"/>
      <c r="I99" s="32"/>
      <c r="J99" s="33"/>
      <c r="K99" s="33"/>
      <c r="L99" s="33"/>
    </row>
    <row r="100" spans="1:12" s="34" customFormat="1" ht="12.75">
      <c r="A100" s="51" t="str">
        <f>"Orthopedic, Prosthetic &amp; Surgical Appliances &amp; Supplies - "&amp;TEXT((H105)/$H$189,"##0.00%")</f>
        <v>Orthopedic, Prosthetic &amp; Surgical Appliances &amp; Supplies - 5.00%</v>
      </c>
      <c r="B100" s="51"/>
      <c r="C100" s="51"/>
      <c r="D100" s="51"/>
      <c r="E100" s="51"/>
      <c r="F100" s="31"/>
      <c r="G100" s="31"/>
      <c r="H100" s="31"/>
      <c r="I100" s="32"/>
      <c r="J100" s="33"/>
      <c r="K100" s="33"/>
      <c r="L100" s="33"/>
    </row>
    <row r="101" spans="1:12" s="34" customFormat="1" ht="12.75">
      <c r="A101" s="50" t="s">
        <v>47</v>
      </c>
      <c r="B101" s="50"/>
      <c r="C101" s="50"/>
      <c r="D101" s="50"/>
      <c r="E101" s="50"/>
      <c r="F101" s="31">
        <v>6506</v>
      </c>
      <c r="G101" s="31"/>
      <c r="H101" s="31">
        <v>2133448</v>
      </c>
      <c r="I101" s="32"/>
      <c r="J101" s="33"/>
      <c r="K101" s="33"/>
      <c r="L101" s="33"/>
    </row>
    <row r="102" spans="1:12" s="34" customFormat="1" ht="12.75">
      <c r="A102" s="50" t="s">
        <v>80</v>
      </c>
      <c r="B102" s="50"/>
      <c r="C102" s="50"/>
      <c r="D102" s="50"/>
      <c r="E102" s="50"/>
      <c r="F102" s="31">
        <v>24434</v>
      </c>
      <c r="G102" s="31"/>
      <c r="H102" s="31">
        <v>2334913</v>
      </c>
      <c r="I102" s="32"/>
      <c r="J102" s="33"/>
      <c r="K102" s="33"/>
      <c r="L102" s="33"/>
    </row>
    <row r="103" spans="1:12" s="34" customFormat="1" ht="12.75">
      <c r="A103" s="39" t="s">
        <v>81</v>
      </c>
      <c r="B103" s="39"/>
      <c r="C103" s="39"/>
      <c r="D103" s="39"/>
      <c r="E103" s="39"/>
      <c r="F103" s="31">
        <v>8223</v>
      </c>
      <c r="G103" s="31"/>
      <c r="H103" s="31">
        <v>3281717</v>
      </c>
      <c r="I103" s="32"/>
      <c r="J103" s="33"/>
      <c r="K103" s="33"/>
      <c r="L103" s="33"/>
    </row>
    <row r="104" spans="1:12" s="34" customFormat="1" ht="12.75">
      <c r="A104" s="39"/>
      <c r="B104" s="39"/>
      <c r="C104" s="39"/>
      <c r="D104" s="39"/>
      <c r="E104" s="39"/>
      <c r="F104" s="31"/>
      <c r="G104" s="31"/>
      <c r="H104" s="31"/>
      <c r="I104" s="32"/>
      <c r="J104" s="33"/>
      <c r="K104" s="33"/>
      <c r="L104" s="33"/>
    </row>
    <row r="105" spans="1:12" s="34" customFormat="1" ht="12.75">
      <c r="A105" s="50"/>
      <c r="B105" s="50"/>
      <c r="C105" s="50"/>
      <c r="D105" s="50"/>
      <c r="E105" s="50"/>
      <c r="F105" s="31"/>
      <c r="G105" s="31"/>
      <c r="H105" s="31">
        <f>SUM(H101:H103)</f>
        <v>7750078</v>
      </c>
      <c r="I105" s="32">
        <f>H105/$H$189</f>
        <v>0.050034928576943895</v>
      </c>
      <c r="J105" s="33"/>
      <c r="K105" s="33"/>
      <c r="L105" s="33"/>
    </row>
    <row r="106" spans="1:12" s="34" customFormat="1" ht="12.75">
      <c r="A106" s="39"/>
      <c r="B106" s="39"/>
      <c r="C106" s="39"/>
      <c r="D106" s="39"/>
      <c r="E106" s="39"/>
      <c r="F106" s="31"/>
      <c r="G106" s="31"/>
      <c r="H106" s="31"/>
      <c r="I106" s="32"/>
      <c r="J106" s="33"/>
      <c r="K106" s="33"/>
      <c r="L106" s="33"/>
    </row>
    <row r="107" spans="1:12" s="34" customFormat="1" ht="12.75">
      <c r="A107" s="51" t="str">
        <f>"Railroad Equipment - "&amp;TEXT((H108)/$H$189,"##0.00%")</f>
        <v>Railroad Equipment - 1.02%</v>
      </c>
      <c r="B107" s="51"/>
      <c r="C107" s="51"/>
      <c r="D107" s="51"/>
      <c r="E107" s="51"/>
      <c r="F107" s="31"/>
      <c r="G107" s="31"/>
      <c r="H107" s="31"/>
      <c r="I107" s="32"/>
      <c r="J107" s="33"/>
      <c r="K107" s="33"/>
      <c r="L107" s="33"/>
    </row>
    <row r="108" spans="1:12" s="34" customFormat="1" ht="12.75">
      <c r="A108" s="50" t="s">
        <v>82</v>
      </c>
      <c r="B108" s="50"/>
      <c r="C108" s="50"/>
      <c r="D108" s="50"/>
      <c r="E108" s="50"/>
      <c r="F108" s="31">
        <v>10891</v>
      </c>
      <c r="G108" s="31"/>
      <c r="H108" s="31">
        <v>1586601</v>
      </c>
      <c r="I108" s="32">
        <f>H108/$H$189</f>
        <v>0.010243183064106936</v>
      </c>
      <c r="J108" s="33"/>
      <c r="K108" s="33"/>
      <c r="L108" s="33"/>
    </row>
    <row r="109" spans="1:12" s="34" customFormat="1" ht="12.75">
      <c r="A109" s="50"/>
      <c r="B109" s="50"/>
      <c r="C109" s="50"/>
      <c r="D109" s="50"/>
      <c r="E109" s="50"/>
      <c r="F109" s="31"/>
      <c r="G109" s="31"/>
      <c r="H109" s="31"/>
      <c r="I109" s="32"/>
      <c r="J109" s="33"/>
      <c r="K109" s="33"/>
      <c r="L109" s="33"/>
    </row>
    <row r="110" spans="1:12" s="34" customFormat="1" ht="12.75">
      <c r="A110" s="51" t="str">
        <f>"Retail-Auto Dealers &amp; Gasoline Stations - "&amp;TEXT((H111)/$H$189,"##0.00%")</f>
        <v>Retail-Auto Dealers &amp; Gasoline Stations - 2.15%</v>
      </c>
      <c r="B110" s="51"/>
      <c r="C110" s="51"/>
      <c r="D110" s="51"/>
      <c r="E110" s="51"/>
      <c r="F110" s="31"/>
      <c r="G110" s="31"/>
      <c r="H110" s="31"/>
      <c r="I110" s="32"/>
      <c r="J110" s="33"/>
      <c r="K110" s="33"/>
      <c r="L110" s="33"/>
    </row>
    <row r="111" spans="1:12" s="34" customFormat="1" ht="12.75">
      <c r="A111" s="50" t="s">
        <v>83</v>
      </c>
      <c r="B111" s="50"/>
      <c r="C111" s="50"/>
      <c r="D111" s="50"/>
      <c r="E111" s="50"/>
      <c r="F111" s="31">
        <v>57372</v>
      </c>
      <c r="G111" s="31"/>
      <c r="H111" s="31">
        <v>3322986</v>
      </c>
      <c r="I111" s="32">
        <f>H111/$H$189</f>
        <v>0.02145337984626535</v>
      </c>
      <c r="J111" s="33"/>
      <c r="K111" s="33"/>
      <c r="L111" s="33"/>
    </row>
    <row r="112" spans="1:12" s="34" customFormat="1" ht="12.75">
      <c r="A112" s="50"/>
      <c r="B112" s="50"/>
      <c r="C112" s="50"/>
      <c r="D112" s="50"/>
      <c r="E112" s="50"/>
      <c r="F112" s="31"/>
      <c r="G112" s="31"/>
      <c r="H112" s="31"/>
      <c r="I112" s="32"/>
      <c r="J112" s="33"/>
      <c r="K112" s="33"/>
      <c r="L112" s="33"/>
    </row>
    <row r="113" spans="1:12" s="34" customFormat="1" ht="12.75">
      <c r="A113" s="51" t="str">
        <f>"Retail-Building Materials, Hardware, Garden Supply - "&amp;TEXT((H114)/$H$189,"##0.00%")</f>
        <v>Retail-Building Materials, Hardware, Garden Supply - 1.85%</v>
      </c>
      <c r="B113" s="51"/>
      <c r="C113" s="51"/>
      <c r="D113" s="51"/>
      <c r="E113" s="51"/>
      <c r="F113" s="31"/>
      <c r="G113" s="31"/>
      <c r="H113" s="31"/>
      <c r="I113" s="32"/>
      <c r="J113" s="33"/>
      <c r="K113" s="33"/>
      <c r="L113" s="33"/>
    </row>
    <row r="114" spans="1:12" s="34" customFormat="1" ht="12.75">
      <c r="A114" s="50" t="s">
        <v>62</v>
      </c>
      <c r="B114" s="50"/>
      <c r="C114" s="50"/>
      <c r="D114" s="50"/>
      <c r="E114" s="50"/>
      <c r="F114" s="31">
        <v>37205</v>
      </c>
      <c r="G114" s="31"/>
      <c r="H114" s="31">
        <v>2869994</v>
      </c>
      <c r="I114" s="32">
        <f>H114/$H$189</f>
        <v>0.01852883865249582</v>
      </c>
      <c r="J114" s="33"/>
      <c r="K114" s="33"/>
      <c r="L114" s="33"/>
    </row>
    <row r="115" spans="1:12" s="34" customFormat="1" ht="12.75">
      <c r="A115" s="39"/>
      <c r="B115" s="39"/>
      <c r="C115" s="39"/>
      <c r="D115" s="39"/>
      <c r="E115" s="39"/>
      <c r="F115" s="31"/>
      <c r="G115" s="31"/>
      <c r="H115" s="31"/>
      <c r="I115" s="32"/>
      <c r="J115" s="33"/>
      <c r="K115" s="33"/>
      <c r="L115" s="33"/>
    </row>
    <row r="116" spans="1:12" s="34" customFormat="1" ht="12.75">
      <c r="A116" s="51" t="str">
        <f>"Retail-Lumber &amp; Other Building Materials Dealers - "&amp;TEXT((H117)/$H$189,"##0.00%")</f>
        <v>Retail-Lumber &amp; Other Building Materials Dealers - 2.35%</v>
      </c>
      <c r="B116" s="51"/>
      <c r="C116" s="51"/>
      <c r="D116" s="51"/>
      <c r="E116" s="51"/>
      <c r="F116" s="31"/>
      <c r="G116" s="31"/>
      <c r="H116" s="31"/>
      <c r="I116" s="32"/>
      <c r="J116" s="33"/>
      <c r="K116" s="33"/>
      <c r="L116" s="33"/>
    </row>
    <row r="117" spans="1:12" s="34" customFormat="1" ht="12.75">
      <c r="A117" s="50" t="s">
        <v>84</v>
      </c>
      <c r="B117" s="50"/>
      <c r="C117" s="50"/>
      <c r="D117" s="50"/>
      <c r="E117" s="50"/>
      <c r="F117" s="31">
        <v>28132</v>
      </c>
      <c r="G117" s="31"/>
      <c r="H117" s="31">
        <v>3646470</v>
      </c>
      <c r="I117" s="32">
        <f>H117/$H$189</f>
        <v>0.023541810289905287</v>
      </c>
      <c r="J117" s="33"/>
      <c r="K117" s="33"/>
      <c r="L117" s="33"/>
    </row>
    <row r="118" spans="1:12" s="34" customFormat="1" ht="12.75">
      <c r="A118" s="39"/>
      <c r="B118" s="39"/>
      <c r="C118" s="39"/>
      <c r="D118" s="39"/>
      <c r="E118" s="39"/>
      <c r="F118" s="31"/>
      <c r="G118" s="31"/>
      <c r="H118" s="31"/>
      <c r="J118" s="33"/>
      <c r="K118" s="33"/>
      <c r="L118" s="33"/>
    </row>
    <row r="119" spans="1:12" s="34" customFormat="1" ht="12.75">
      <c r="A119" s="51" t="str">
        <f>"Retail-Variety Stores - "&amp;TEXT((H120)/$H$189,"##0.00%")</f>
        <v>Retail-Variety Stores - 0.45%</v>
      </c>
      <c r="B119" s="51"/>
      <c r="C119" s="51"/>
      <c r="D119" s="51"/>
      <c r="E119" s="51"/>
      <c r="F119" s="31"/>
      <c r="G119" s="31"/>
      <c r="H119" s="31"/>
      <c r="I119" s="32"/>
      <c r="J119" s="33"/>
      <c r="K119" s="33"/>
      <c r="L119" s="33"/>
    </row>
    <row r="120" spans="1:12" s="34" customFormat="1" ht="12.75">
      <c r="A120" s="50" t="s">
        <v>48</v>
      </c>
      <c r="B120" s="50"/>
      <c r="C120" s="50"/>
      <c r="D120" s="50"/>
      <c r="E120" s="50"/>
      <c r="F120" s="31">
        <v>3859</v>
      </c>
      <c r="G120" s="31"/>
      <c r="H120" s="31">
        <v>699945</v>
      </c>
      <c r="I120" s="32">
        <f>H120/$H$189</f>
        <v>0.004518883304502096</v>
      </c>
      <c r="J120" s="33"/>
      <c r="K120" s="33"/>
      <c r="L120" s="33"/>
    </row>
    <row r="121" spans="1:12" s="34" customFormat="1" ht="12.75">
      <c r="A121" s="50"/>
      <c r="B121" s="50"/>
      <c r="C121" s="50"/>
      <c r="D121" s="50"/>
      <c r="E121" s="50"/>
      <c r="F121" s="31"/>
      <c r="G121" s="31"/>
      <c r="H121" s="31"/>
      <c r="I121" s="32"/>
      <c r="J121" s="33"/>
      <c r="K121" s="33"/>
      <c r="L121" s="33"/>
    </row>
    <row r="122" spans="1:12" s="34" customFormat="1" ht="12.75">
      <c r="A122" s="51" t="str">
        <f>"Rubber &amp; Plastics Footwear - "&amp;TEXT((H123)/$H$189,"##0.00%")</f>
        <v>Rubber &amp; Plastics Footwear - 1.73%</v>
      </c>
      <c r="B122" s="51"/>
      <c r="C122" s="51"/>
      <c r="D122" s="51"/>
      <c r="E122" s="51"/>
      <c r="F122" s="31"/>
      <c r="G122" s="31"/>
      <c r="H122" s="31"/>
      <c r="I122" s="32"/>
      <c r="J122" s="33"/>
      <c r="K122" s="33"/>
      <c r="L122" s="33"/>
    </row>
    <row r="123" spans="1:12" s="34" customFormat="1" ht="12.75">
      <c r="A123" s="50" t="s">
        <v>49</v>
      </c>
      <c r="B123" s="50"/>
      <c r="C123" s="50"/>
      <c r="D123" s="50"/>
      <c r="E123" s="50"/>
      <c r="F123" s="31">
        <v>75586</v>
      </c>
      <c r="G123" s="31"/>
      <c r="H123" s="31">
        <v>2674233</v>
      </c>
      <c r="I123" s="32">
        <f>H123/$H$189</f>
        <v>0.017264994901097303</v>
      </c>
      <c r="J123" s="33"/>
      <c r="K123" s="33"/>
      <c r="L123" s="33"/>
    </row>
    <row r="124" spans="1:12" s="34" customFormat="1" ht="12.75">
      <c r="A124" s="50"/>
      <c r="B124" s="50"/>
      <c r="C124" s="50"/>
      <c r="D124" s="50"/>
      <c r="E124" s="50"/>
      <c r="F124" s="31"/>
      <c r="G124" s="31"/>
      <c r="H124" s="31"/>
      <c r="I124" s="32"/>
      <c r="J124" s="33"/>
      <c r="K124" s="33"/>
      <c r="L124" s="33"/>
    </row>
    <row r="125" spans="1:12" s="34" customFormat="1" ht="12.75">
      <c r="A125" s="51" t="str">
        <f>"Semiconductors &amp; Related Devices - "&amp;TEXT((H129)/$H$189,"##0.00%")</f>
        <v>Semiconductors &amp; Related Devices - 4.59%</v>
      </c>
      <c r="B125" s="51"/>
      <c r="C125" s="51"/>
      <c r="D125" s="51"/>
      <c r="E125" s="51"/>
      <c r="F125" s="31"/>
      <c r="G125" s="31"/>
      <c r="H125" s="31"/>
      <c r="I125" s="32"/>
      <c r="J125" s="33"/>
      <c r="K125" s="33"/>
      <c r="L125" s="33"/>
    </row>
    <row r="126" spans="1:12" s="34" customFormat="1" ht="12.75">
      <c r="A126" s="50" t="s">
        <v>63</v>
      </c>
      <c r="B126" s="50"/>
      <c r="C126" s="50"/>
      <c r="D126" s="50"/>
      <c r="E126" s="50"/>
      <c r="F126" s="31">
        <v>33043</v>
      </c>
      <c r="G126" s="31"/>
      <c r="H126" s="31">
        <v>2964288</v>
      </c>
      <c r="I126" s="32"/>
      <c r="J126" s="33"/>
      <c r="K126" s="33"/>
      <c r="L126" s="33"/>
    </row>
    <row r="127" spans="1:12" s="34" customFormat="1" ht="12.75">
      <c r="A127" s="50" t="s">
        <v>64</v>
      </c>
      <c r="B127" s="50"/>
      <c r="C127" s="50"/>
      <c r="D127" s="50"/>
      <c r="E127" s="50"/>
      <c r="F127" s="31">
        <v>6118</v>
      </c>
      <c r="G127" s="31"/>
      <c r="H127" s="31">
        <v>4144456</v>
      </c>
      <c r="I127" s="32"/>
      <c r="J127" s="33"/>
      <c r="K127" s="33"/>
      <c r="L127" s="33"/>
    </row>
    <row r="128" spans="1:12" s="34" customFormat="1" ht="12.75">
      <c r="A128" s="39"/>
      <c r="B128" s="39"/>
      <c r="C128" s="39"/>
      <c r="D128" s="39"/>
      <c r="E128" s="39"/>
      <c r="F128" s="31"/>
      <c r="G128" s="31"/>
      <c r="H128" s="31"/>
      <c r="I128" s="32"/>
      <c r="J128" s="33"/>
      <c r="K128" s="33"/>
      <c r="L128" s="33"/>
    </row>
    <row r="129" spans="1:12" s="34" customFormat="1" ht="12.75">
      <c r="A129" s="50"/>
      <c r="B129" s="50"/>
      <c r="C129" s="50"/>
      <c r="D129" s="50"/>
      <c r="E129" s="50"/>
      <c r="F129" s="31"/>
      <c r="G129" s="31"/>
      <c r="H129" s="31">
        <f>SUM(H126:H127)</f>
        <v>7108744</v>
      </c>
      <c r="I129" s="32">
        <f>H129/$H$189</f>
        <v>0.0458944411026287</v>
      </c>
      <c r="J129" s="33"/>
      <c r="K129" s="33"/>
      <c r="L129" s="33"/>
    </row>
    <row r="130" spans="1:12" s="34" customFormat="1" ht="12.75">
      <c r="A130" s="39"/>
      <c r="B130" s="39"/>
      <c r="C130" s="39"/>
      <c r="D130" s="39"/>
      <c r="E130" s="39"/>
      <c r="F130" s="31"/>
      <c r="G130" s="31"/>
      <c r="H130" s="31"/>
      <c r="I130" s="32"/>
      <c r="J130" s="33"/>
      <c r="K130" s="33"/>
      <c r="L130" s="33"/>
    </row>
    <row r="131" spans="1:12" s="34" customFormat="1" ht="12.75">
      <c r="A131" s="51" t="str">
        <f>"Semiconductors &amp; Semiconductor Equipment - "&amp;TEXT((H135)/$H$189,"##0.00%")</f>
        <v>Semiconductors &amp; Semiconductor Equipment - 0.11%</v>
      </c>
      <c r="B131" s="51"/>
      <c r="C131" s="51"/>
      <c r="D131" s="51"/>
      <c r="E131" s="51"/>
      <c r="F131" s="31"/>
      <c r="G131" s="31"/>
      <c r="H131" s="31"/>
      <c r="I131" s="32"/>
      <c r="J131" s="33"/>
      <c r="K131" s="33"/>
      <c r="L131" s="33"/>
    </row>
    <row r="132" spans="1:12" s="34" customFormat="1" ht="12.75">
      <c r="A132" s="50" t="s">
        <v>55</v>
      </c>
      <c r="B132" s="50"/>
      <c r="C132" s="50"/>
      <c r="D132" s="50"/>
      <c r="E132" s="50"/>
      <c r="F132" s="31">
        <v>25770</v>
      </c>
      <c r="G132" s="31"/>
      <c r="H132" s="31">
        <v>2015987</v>
      </c>
      <c r="I132" s="32"/>
      <c r="J132" s="33"/>
      <c r="K132" s="33"/>
      <c r="L132" s="33"/>
    </row>
    <row r="133" spans="1:12" s="34" customFormat="1" ht="12.75">
      <c r="A133" s="50" t="s">
        <v>56</v>
      </c>
      <c r="B133" s="50"/>
      <c r="C133" s="50"/>
      <c r="D133" s="50"/>
      <c r="E133" s="50"/>
      <c r="F133" s="31">
        <v>931</v>
      </c>
      <c r="G133" s="31"/>
      <c r="H133" s="31">
        <v>168585</v>
      </c>
      <c r="I133" s="32"/>
      <c r="J133" s="33"/>
      <c r="K133" s="33"/>
      <c r="L133" s="33"/>
    </row>
    <row r="134" spans="1:12" s="34" customFormat="1" ht="12.75">
      <c r="A134" s="39"/>
      <c r="B134" s="39"/>
      <c r="C134" s="39"/>
      <c r="D134" s="39"/>
      <c r="E134" s="39"/>
      <c r="F134" s="31"/>
      <c r="G134" s="31"/>
      <c r="H134" s="31"/>
      <c r="I134" s="32"/>
      <c r="J134" s="33"/>
      <c r="K134" s="33"/>
      <c r="L134" s="33"/>
    </row>
    <row r="135" spans="1:12" s="34" customFormat="1" ht="12.75">
      <c r="A135" s="50"/>
      <c r="B135" s="50"/>
      <c r="C135" s="50"/>
      <c r="D135" s="50"/>
      <c r="E135" s="50"/>
      <c r="F135" s="31"/>
      <c r="G135" s="31"/>
      <c r="H135" s="31">
        <f>SUM(H133:H133)</f>
        <v>168585</v>
      </c>
      <c r="I135" s="32">
        <f>H135/$H$189</f>
        <v>0.0010883940050853793</v>
      </c>
      <c r="J135" s="33"/>
      <c r="K135" s="33"/>
      <c r="L135" s="33"/>
    </row>
    <row r="136" spans="1:12" s="34" customFormat="1" ht="12.75">
      <c r="A136" s="39"/>
      <c r="B136" s="39"/>
      <c r="C136" s="39"/>
      <c r="D136" s="39"/>
      <c r="E136" s="39"/>
      <c r="F136" s="31"/>
      <c r="G136" s="31"/>
      <c r="H136" s="31"/>
      <c r="I136" s="32"/>
      <c r="J136" s="33"/>
      <c r="K136" s="33"/>
      <c r="L136" s="33"/>
    </row>
    <row r="137" spans="1:12" s="34" customFormat="1" ht="12.75">
      <c r="A137" s="51" t="str">
        <f>"Services-Business Services - "&amp;TEXT((H138)/$H$189,"##0.00%")</f>
        <v>Services-Business Services - 4.30%</v>
      </c>
      <c r="B137" s="51"/>
      <c r="C137" s="51"/>
      <c r="D137" s="51"/>
      <c r="E137" s="51"/>
      <c r="F137" s="31"/>
      <c r="G137" s="31"/>
      <c r="H137" s="31"/>
      <c r="I137" s="32"/>
      <c r="J137" s="33"/>
      <c r="K137" s="33"/>
      <c r="L137" s="33"/>
    </row>
    <row r="138" spans="1:12" s="34" customFormat="1" ht="12.75">
      <c r="A138" s="50" t="s">
        <v>85</v>
      </c>
      <c r="B138" s="50"/>
      <c r="C138" s="50"/>
      <c r="D138" s="50"/>
      <c r="E138" s="50"/>
      <c r="F138" s="31">
        <v>68891</v>
      </c>
      <c r="G138" s="31"/>
      <c r="H138" s="31">
        <v>6654871</v>
      </c>
      <c r="I138" s="32">
        <f>H138/$H$189</f>
        <v>0.042964212124545736</v>
      </c>
      <c r="J138" s="33"/>
      <c r="K138" s="33"/>
      <c r="L138" s="33"/>
    </row>
    <row r="139" spans="1:12" s="34" customFormat="1" ht="12.75">
      <c r="A139" s="50"/>
      <c r="B139" s="50"/>
      <c r="C139" s="50"/>
      <c r="D139" s="50"/>
      <c r="E139" s="50"/>
      <c r="F139" s="31"/>
      <c r="G139" s="31"/>
      <c r="H139" s="31"/>
      <c r="I139" s="32"/>
      <c r="J139" s="33"/>
      <c r="K139" s="33"/>
      <c r="L139" s="33"/>
    </row>
    <row r="140" spans="1:12" s="34" customFormat="1" ht="12.75">
      <c r="A140" s="51" t="str">
        <f>"Services-Computer Processing &amp; Data Preparation - "&amp;TEXT((H141)/$H$189,"##0.00%")</f>
        <v>Services-Computer Processing &amp; Data Preparation - 1.40%</v>
      </c>
      <c r="B140" s="51"/>
      <c r="C140" s="51"/>
      <c r="D140" s="51"/>
      <c r="E140" s="51"/>
      <c r="F140" s="31"/>
      <c r="G140" s="31"/>
      <c r="H140" s="31"/>
      <c r="I140" s="32"/>
      <c r="J140" s="33"/>
      <c r="K140" s="33"/>
      <c r="L140" s="33"/>
    </row>
    <row r="141" spans="1:12" s="34" customFormat="1" ht="12.75">
      <c r="A141" s="50" t="s">
        <v>86</v>
      </c>
      <c r="B141" s="50"/>
      <c r="C141" s="50"/>
      <c r="D141" s="50"/>
      <c r="E141" s="50"/>
      <c r="F141" s="31">
        <v>7929</v>
      </c>
      <c r="G141" s="31"/>
      <c r="H141" s="31">
        <v>2162635</v>
      </c>
      <c r="I141" s="32">
        <f>H141/$H$189</f>
        <v>0.013962090157415069</v>
      </c>
      <c r="J141" s="33"/>
      <c r="K141" s="33"/>
      <c r="L141" s="33"/>
    </row>
    <row r="142" spans="1:12" s="34" customFormat="1" ht="12.75">
      <c r="A142" s="50"/>
      <c r="B142" s="50"/>
      <c r="C142" s="50"/>
      <c r="D142" s="50"/>
      <c r="E142" s="50"/>
      <c r="F142" s="31"/>
      <c r="G142" s="31"/>
      <c r="H142" s="31"/>
      <c r="I142" s="32"/>
      <c r="J142" s="33"/>
      <c r="K142" s="33"/>
      <c r="L142" s="33"/>
    </row>
    <row r="143" spans="1:12" s="34" customFormat="1" ht="12.75">
      <c r="A143" s="51" t="str">
        <f>"Services-Computer Programming, Data Processing, Etc. - "&amp;TEXT((H148)/$H$189,"##0.00%")</f>
        <v>Services-Computer Programming, Data Processing, Etc. - 5.51%</v>
      </c>
      <c r="B143" s="51"/>
      <c r="C143" s="51"/>
      <c r="D143" s="51"/>
      <c r="E143" s="51"/>
      <c r="F143" s="31"/>
      <c r="G143" s="31"/>
      <c r="H143" s="31"/>
      <c r="I143" s="32"/>
      <c r="J143" s="33"/>
      <c r="K143" s="33"/>
      <c r="L143" s="33"/>
    </row>
    <row r="144" spans="1:12" s="34" customFormat="1" ht="12.75">
      <c r="A144" s="50" t="s">
        <v>65</v>
      </c>
      <c r="B144" s="50"/>
      <c r="C144" s="50"/>
      <c r="D144" s="50"/>
      <c r="E144" s="50"/>
      <c r="F144" s="31">
        <v>3161</v>
      </c>
      <c r="G144" s="31"/>
      <c r="H144" s="31">
        <v>1436327</v>
      </c>
      <c r="I144" s="32"/>
      <c r="J144" s="33"/>
      <c r="K144" s="33"/>
      <c r="L144" s="33"/>
    </row>
    <row r="145" spans="1:12" s="34" customFormat="1" ht="12.75">
      <c r="A145" s="50" t="s">
        <v>87</v>
      </c>
      <c r="B145" s="50"/>
      <c r="C145" s="50"/>
      <c r="D145" s="50"/>
      <c r="E145" s="50"/>
      <c r="F145" s="31">
        <v>113374</v>
      </c>
      <c r="G145" s="31"/>
      <c r="H145" s="31">
        <v>3930677</v>
      </c>
      <c r="I145" s="32"/>
      <c r="J145" s="33"/>
      <c r="K145" s="33"/>
      <c r="L145" s="33"/>
    </row>
    <row r="146" spans="1:12" s="34" customFormat="1" ht="12.75">
      <c r="A146" s="50" t="s">
        <v>88</v>
      </c>
      <c r="B146" s="50"/>
      <c r="C146" s="50"/>
      <c r="D146" s="50"/>
      <c r="E146" s="50"/>
      <c r="F146" s="31">
        <v>36258</v>
      </c>
      <c r="G146" s="31"/>
      <c r="H146" s="31">
        <v>3169674</v>
      </c>
      <c r="I146" s="32"/>
      <c r="J146" s="33"/>
      <c r="K146" s="33"/>
      <c r="L146" s="33"/>
    </row>
    <row r="147" spans="1:12" s="34" customFormat="1" ht="12.75">
      <c r="A147" s="39"/>
      <c r="B147" s="39"/>
      <c r="C147" s="39"/>
      <c r="D147" s="39"/>
      <c r="E147" s="39"/>
      <c r="F147" s="31"/>
      <c r="G147" s="31"/>
      <c r="H147" s="31"/>
      <c r="I147" s="32"/>
      <c r="J147" s="33"/>
      <c r="K147" s="33"/>
      <c r="L147" s="33"/>
    </row>
    <row r="148" spans="1:12" s="34" customFormat="1" ht="12.75">
      <c r="A148" s="50"/>
      <c r="B148" s="50"/>
      <c r="C148" s="50"/>
      <c r="D148" s="50"/>
      <c r="E148" s="50"/>
      <c r="F148" s="31"/>
      <c r="G148" s="31"/>
      <c r="H148" s="31">
        <f>SUM(H144:H146)</f>
        <v>8536678</v>
      </c>
      <c r="I148" s="32">
        <f>H148/$H$189</f>
        <v>0.055113261313546553</v>
      </c>
      <c r="J148" s="33"/>
      <c r="K148" s="33"/>
      <c r="L148" s="33"/>
    </row>
    <row r="149" spans="1:12" s="34" customFormat="1" ht="12.75">
      <c r="A149" s="39"/>
      <c r="B149" s="39"/>
      <c r="C149" s="39"/>
      <c r="D149" s="39"/>
      <c r="E149" s="39"/>
      <c r="F149" s="31"/>
      <c r="G149" s="31"/>
      <c r="H149" s="31"/>
      <c r="I149" s="32"/>
      <c r="J149" s="33"/>
      <c r="K149" s="33"/>
      <c r="L149" s="33"/>
    </row>
    <row r="150" spans="1:12" s="34" customFormat="1" ht="12.75">
      <c r="A150" s="51" t="str">
        <f>"Services-Miscellaneous Amusement &amp; Recreation - "&amp;TEXT((H151)/$H$189,"##0.00%")</f>
        <v>Services-Miscellaneous Amusement &amp; Recreation - 1.33%</v>
      </c>
      <c r="B150" s="51"/>
      <c r="C150" s="51"/>
      <c r="D150" s="51"/>
      <c r="E150" s="51"/>
      <c r="F150" s="31"/>
      <c r="G150" s="31"/>
      <c r="H150" s="31"/>
      <c r="I150" s="32"/>
      <c r="J150" s="33"/>
      <c r="K150" s="33"/>
      <c r="L150" s="33"/>
    </row>
    <row r="151" spans="1:12" s="34" customFormat="1" ht="12.75">
      <c r="A151" s="50" t="s">
        <v>32</v>
      </c>
      <c r="B151" s="50"/>
      <c r="C151" s="50"/>
      <c r="D151" s="50"/>
      <c r="E151" s="50"/>
      <c r="F151" s="31">
        <v>9213</v>
      </c>
      <c r="G151" s="31"/>
      <c r="H151" s="31">
        <v>2052933</v>
      </c>
      <c r="I151" s="32">
        <f>H151/$H$189</f>
        <v>0.013253848029432885</v>
      </c>
      <c r="J151" s="33"/>
      <c r="K151" s="33"/>
      <c r="L151" s="33"/>
    </row>
    <row r="152" spans="1:12" s="34" customFormat="1" ht="12.75">
      <c r="A152" s="50"/>
      <c r="B152" s="50"/>
      <c r="C152" s="50"/>
      <c r="D152" s="50"/>
      <c r="E152" s="50"/>
      <c r="F152" s="31"/>
      <c r="G152" s="31"/>
      <c r="H152" s="31"/>
      <c r="I152" s="32"/>
      <c r="J152" s="33"/>
      <c r="K152" s="33"/>
      <c r="L152" s="33"/>
    </row>
    <row r="153" spans="1:12" s="34" customFormat="1" ht="12.75">
      <c r="A153" s="51" t="str">
        <f>"Services-Prepackaged Software - "&amp;TEXT((H162)/$H$189,"##0.00%")</f>
        <v>Services-Prepackaged Software - 13.32%</v>
      </c>
      <c r="B153" s="51"/>
      <c r="C153" s="51"/>
      <c r="D153" s="51"/>
      <c r="E153" s="51"/>
      <c r="F153" s="31"/>
      <c r="G153" s="31"/>
      <c r="H153" s="31"/>
      <c r="I153" s="32"/>
      <c r="J153" s="33"/>
      <c r="K153" s="33"/>
      <c r="L153" s="33"/>
    </row>
    <row r="154" spans="1:12" s="34" customFormat="1" ht="12.75">
      <c r="A154" s="50" t="s">
        <v>89</v>
      </c>
      <c r="B154" s="50"/>
      <c r="C154" s="50"/>
      <c r="D154" s="50"/>
      <c r="E154" s="50"/>
      <c r="F154" s="31">
        <v>18363</v>
      </c>
      <c r="G154" s="31"/>
      <c r="H154" s="31">
        <v>5716035</v>
      </c>
      <c r="I154" s="32"/>
      <c r="J154" s="33"/>
      <c r="K154" s="33"/>
      <c r="L154" s="33"/>
    </row>
    <row r="155" spans="1:12" s="34" customFormat="1" ht="12.75">
      <c r="A155" s="50" t="s">
        <v>90</v>
      </c>
      <c r="B155" s="50"/>
      <c r="C155" s="50"/>
      <c r="D155" s="50"/>
      <c r="E155" s="50"/>
      <c r="F155" s="31">
        <v>14275</v>
      </c>
      <c r="G155" s="31"/>
      <c r="H155" s="31">
        <v>4576422</v>
      </c>
      <c r="I155" s="32"/>
      <c r="J155" s="33"/>
      <c r="K155" s="33"/>
      <c r="L155" s="33"/>
    </row>
    <row r="156" spans="1:12" s="34" customFormat="1" ht="12.75">
      <c r="A156" s="48" t="s">
        <v>50</v>
      </c>
      <c r="B156" s="39"/>
      <c r="C156" s="39"/>
      <c r="D156" s="39"/>
      <c r="E156" s="39"/>
      <c r="F156" s="31">
        <v>3095</v>
      </c>
      <c r="G156" s="31"/>
      <c r="H156" s="31">
        <v>1939203</v>
      </c>
      <c r="I156" s="32"/>
      <c r="J156" s="33"/>
      <c r="K156" s="33"/>
      <c r="L156" s="33"/>
    </row>
    <row r="157" spans="1:12" s="34" customFormat="1" ht="12.75">
      <c r="A157" s="50" t="s">
        <v>51</v>
      </c>
      <c r="B157" s="50"/>
      <c r="C157" s="50"/>
      <c r="D157" s="50"/>
      <c r="E157" s="50"/>
      <c r="F157" s="31">
        <v>5207</v>
      </c>
      <c r="G157" s="31"/>
      <c r="H157" s="31">
        <v>1867438</v>
      </c>
      <c r="I157" s="32"/>
      <c r="J157" s="33"/>
      <c r="K157" s="33"/>
      <c r="L157" s="33"/>
    </row>
    <row r="158" spans="1:12" s="34" customFormat="1" ht="12.75">
      <c r="A158" s="50" t="s">
        <v>91</v>
      </c>
      <c r="B158" s="50"/>
      <c r="C158" s="50"/>
      <c r="D158" s="50"/>
      <c r="E158" s="50"/>
      <c r="F158" s="31">
        <v>6612</v>
      </c>
      <c r="G158" s="31"/>
      <c r="H158" s="31">
        <v>2810166</v>
      </c>
      <c r="I158" s="32"/>
      <c r="J158" s="33"/>
      <c r="K158" s="33"/>
      <c r="L158" s="33"/>
    </row>
    <row r="159" spans="1:12" s="34" customFormat="1" ht="12.75">
      <c r="A159" s="50" t="s">
        <v>92</v>
      </c>
      <c r="B159" s="50"/>
      <c r="C159" s="50"/>
      <c r="D159" s="50"/>
      <c r="E159" s="50"/>
      <c r="F159" s="31">
        <v>10457</v>
      </c>
      <c r="G159" s="31"/>
      <c r="H159" s="31">
        <v>2422782</v>
      </c>
      <c r="I159" s="32"/>
      <c r="J159" s="33"/>
      <c r="K159" s="33"/>
      <c r="L159" s="33"/>
    </row>
    <row r="160" spans="1:12" s="34" customFormat="1" ht="12.75">
      <c r="A160" s="50" t="s">
        <v>93</v>
      </c>
      <c r="B160" s="50"/>
      <c r="C160" s="50"/>
      <c r="D160" s="50"/>
      <c r="E160" s="50"/>
      <c r="F160" s="31">
        <v>15268</v>
      </c>
      <c r="G160" s="31"/>
      <c r="H160" s="31">
        <v>1294726</v>
      </c>
      <c r="I160" s="32"/>
      <c r="J160" s="33"/>
      <c r="K160" s="33"/>
      <c r="L160" s="33"/>
    </row>
    <row r="161" spans="1:12" s="34" customFormat="1" ht="12.75">
      <c r="A161" s="50"/>
      <c r="B161" s="50"/>
      <c r="C161" s="50"/>
      <c r="D161" s="50"/>
      <c r="E161" s="50"/>
      <c r="F161" s="31"/>
      <c r="G161" s="31"/>
      <c r="H161" s="31"/>
      <c r="I161" s="32"/>
      <c r="J161" s="33"/>
      <c r="K161" s="33"/>
      <c r="L161" s="33"/>
    </row>
    <row r="162" spans="1:12" s="34" customFormat="1" ht="12.75">
      <c r="A162" s="50"/>
      <c r="B162" s="50"/>
      <c r="C162" s="50"/>
      <c r="D162" s="50"/>
      <c r="E162" s="50"/>
      <c r="F162" s="31"/>
      <c r="G162" s="31"/>
      <c r="H162" s="31">
        <f>SUM(H154:H161)</f>
        <v>20626772</v>
      </c>
      <c r="I162" s="32">
        <f>H162/$H$189</f>
        <v>0.13316757118998107</v>
      </c>
      <c r="J162" s="33"/>
      <c r="K162" s="33"/>
      <c r="L162" s="33"/>
    </row>
    <row r="163" spans="1:12" s="34" customFormat="1" ht="12.75">
      <c r="A163" s="39"/>
      <c r="B163" s="39"/>
      <c r="C163" s="39"/>
      <c r="D163" s="39"/>
      <c r="E163" s="39"/>
      <c r="F163" s="31"/>
      <c r="G163" s="31"/>
      <c r="H163" s="31"/>
      <c r="I163" s="32"/>
      <c r="J163" s="33"/>
      <c r="K163" s="33"/>
      <c r="L163" s="33"/>
    </row>
    <row r="164" spans="1:12" s="34" customFormat="1" ht="12.75">
      <c r="A164" s="51" t="str">
        <f>"Services-To Dwellings &amp; Other Buildings - "&amp;TEXT((H165)/$H$189,"##0.00%")</f>
        <v>Services-To Dwellings &amp; Other Buildings - 1.21%</v>
      </c>
      <c r="B164" s="51"/>
      <c r="C164" s="51"/>
      <c r="D164" s="51"/>
      <c r="E164" s="51"/>
      <c r="F164" s="31"/>
      <c r="G164" s="31"/>
      <c r="H164" s="31"/>
      <c r="I164" s="32"/>
      <c r="J164" s="33"/>
      <c r="K164" s="33"/>
      <c r="L164" s="33"/>
    </row>
    <row r="165" spans="1:12" s="34" customFormat="1" ht="12.75">
      <c r="A165" s="50" t="s">
        <v>66</v>
      </c>
      <c r="B165" s="50"/>
      <c r="C165" s="50"/>
      <c r="D165" s="50"/>
      <c r="E165" s="50"/>
      <c r="F165" s="31">
        <v>40412</v>
      </c>
      <c r="G165" s="31"/>
      <c r="H165" s="31">
        <v>1869863</v>
      </c>
      <c r="I165" s="32">
        <f>H165/$H$189</f>
        <v>0.012071938070000074</v>
      </c>
      <c r="J165" s="33"/>
      <c r="K165" s="33"/>
      <c r="L165" s="33"/>
    </row>
    <row r="166" spans="1:12" s="34" customFormat="1" ht="12.75">
      <c r="A166" s="39"/>
      <c r="B166" s="39"/>
      <c r="C166" s="39"/>
      <c r="D166" s="39"/>
      <c r="E166" s="39"/>
      <c r="F166" s="31"/>
      <c r="G166" s="31"/>
      <c r="H166" s="31"/>
      <c r="I166" s="32"/>
      <c r="J166" s="33"/>
      <c r="K166" s="33"/>
      <c r="L166" s="33"/>
    </row>
    <row r="167" spans="1:12" s="34" customFormat="1" ht="12.75">
      <c r="A167" s="51" t="str">
        <f>"Software &amp; Services - Communications Services, NEC - "&amp;TEXT((H168)/$H$189,"##0.00%")</f>
        <v>Software &amp; Services - Communications Services, NEC - 0.94%</v>
      </c>
      <c r="B167" s="51"/>
      <c r="C167" s="51"/>
      <c r="D167" s="51"/>
      <c r="E167" s="51"/>
      <c r="F167" s="31"/>
      <c r="G167" s="31"/>
      <c r="H167" s="31"/>
      <c r="I167" s="32"/>
      <c r="J167" s="33"/>
      <c r="K167" s="33"/>
      <c r="L167" s="33"/>
    </row>
    <row r="168" spans="1:12" s="34" customFormat="1" ht="12.75">
      <c r="A168" s="50" t="s">
        <v>94</v>
      </c>
      <c r="B168" s="50"/>
      <c r="C168" s="50"/>
      <c r="D168" s="50"/>
      <c r="E168" s="50"/>
      <c r="F168" s="31">
        <v>41265</v>
      </c>
      <c r="G168" s="31"/>
      <c r="H168" s="31">
        <v>1450877</v>
      </c>
      <c r="I168" s="32">
        <f>H168/$H$189</f>
        <v>0.009366941477096182</v>
      </c>
      <c r="J168" s="33"/>
      <c r="K168" s="33"/>
      <c r="L168" s="33"/>
    </row>
    <row r="169" spans="1:12" s="34" customFormat="1" ht="12.75">
      <c r="A169" s="50"/>
      <c r="B169" s="50"/>
      <c r="C169" s="50"/>
      <c r="D169" s="50"/>
      <c r="E169" s="50"/>
      <c r="F169" s="31"/>
      <c r="G169" s="31"/>
      <c r="H169" s="31"/>
      <c r="I169" s="32"/>
      <c r="J169" s="33"/>
      <c r="K169" s="33"/>
      <c r="L169" s="33"/>
    </row>
    <row r="170" spans="1:12" s="34" customFormat="1" ht="12.75">
      <c r="A170" s="51" t="str">
        <f>"Surgical &amp; Medical Instruments &amp; Apparatus - "&amp;TEXT((H171)/$H$189,"##0.00%")</f>
        <v>Surgical &amp; Medical Instruments &amp; Apparatus - 3.47%</v>
      </c>
      <c r="B170" s="51"/>
      <c r="C170" s="51"/>
      <c r="D170" s="51"/>
      <c r="E170" s="51"/>
      <c r="F170" s="31"/>
      <c r="G170" s="31"/>
      <c r="H170" s="31"/>
      <c r="I170" s="32"/>
      <c r="J170" s="33"/>
      <c r="K170" s="33"/>
      <c r="L170" s="33"/>
    </row>
    <row r="171" spans="1:12" s="34" customFormat="1" ht="12.75">
      <c r="A171" s="50" t="s">
        <v>95</v>
      </c>
      <c r="B171" s="50"/>
      <c r="C171" s="50"/>
      <c r="D171" s="50"/>
      <c r="E171" s="50"/>
      <c r="F171" s="31">
        <v>38718</v>
      </c>
      <c r="G171" s="31"/>
      <c r="H171" s="31">
        <v>5370187</v>
      </c>
      <c r="I171" s="32">
        <f>H171/$H$189</f>
        <v>0.0346702217693593</v>
      </c>
      <c r="J171" s="33"/>
      <c r="K171" s="33"/>
      <c r="L171" s="33"/>
    </row>
    <row r="172" spans="1:12" s="34" customFormat="1" ht="12.75">
      <c r="A172" s="50"/>
      <c r="B172" s="50"/>
      <c r="C172" s="50"/>
      <c r="D172" s="50"/>
      <c r="E172" s="50"/>
      <c r="F172" s="31"/>
      <c r="G172" s="31"/>
      <c r="H172" s="31"/>
      <c r="I172" s="32"/>
      <c r="J172" s="33"/>
      <c r="K172" s="33"/>
      <c r="L172" s="33"/>
    </row>
    <row r="173" spans="1:12" s="34" customFormat="1" ht="12.75">
      <c r="A173" s="51" t="str">
        <f>"Switchgear &amp; Switchboard Apparatus - "&amp;TEXT((H174)/$H$189,"##0.00%")</f>
        <v>Switchgear &amp; Switchboard Apparatus - 1.06%</v>
      </c>
      <c r="B173" s="51"/>
      <c r="C173" s="51"/>
      <c r="D173" s="51"/>
      <c r="E173" s="51"/>
      <c r="F173" s="31"/>
      <c r="G173" s="31"/>
      <c r="H173" s="31"/>
      <c r="I173" s="32"/>
      <c r="J173" s="33"/>
      <c r="K173" s="33"/>
      <c r="L173" s="33"/>
    </row>
    <row r="174" spans="1:12" s="34" customFormat="1" ht="12.75">
      <c r="A174" s="50" t="s">
        <v>67</v>
      </c>
      <c r="B174" s="50"/>
      <c r="C174" s="50"/>
      <c r="D174" s="50"/>
      <c r="E174" s="50"/>
      <c r="F174" s="31">
        <v>6786</v>
      </c>
      <c r="G174" s="31"/>
      <c r="H174" s="31">
        <v>1644587</v>
      </c>
      <c r="I174" s="32">
        <f>H174/$H$189</f>
        <v>0.01061754386001927</v>
      </c>
      <c r="J174" s="33"/>
      <c r="K174" s="33"/>
      <c r="L174" s="33"/>
    </row>
    <row r="175" spans="1:12" s="34" customFormat="1" ht="12.75">
      <c r="A175" s="39"/>
      <c r="B175" s="39"/>
      <c r="C175" s="39"/>
      <c r="D175" s="39"/>
      <c r="E175" s="39"/>
      <c r="F175" s="31"/>
      <c r="G175" s="31"/>
      <c r="H175" s="31"/>
      <c r="I175" s="32"/>
      <c r="J175" s="33"/>
      <c r="K175" s="33"/>
      <c r="L175" s="33"/>
    </row>
    <row r="176" spans="1:12" s="34" customFormat="1" ht="12.75">
      <c r="A176" s="51" t="str">
        <f>"Trucking (No Local) - "&amp;TEXT((H177)/$H$189,"##0.00%")</f>
        <v>Trucking (No Local) - 1.61%</v>
      </c>
      <c r="B176" s="51"/>
      <c r="C176" s="51"/>
      <c r="D176" s="51"/>
      <c r="E176" s="51"/>
      <c r="F176" s="31"/>
      <c r="G176" s="31"/>
      <c r="H176" s="31"/>
      <c r="I176" s="32"/>
      <c r="J176" s="33"/>
      <c r="K176" s="33"/>
      <c r="L176" s="33"/>
    </row>
    <row r="177" spans="1:12" s="34" customFormat="1" ht="12.75">
      <c r="A177" s="50" t="s">
        <v>69</v>
      </c>
      <c r="B177" s="50"/>
      <c r="C177" s="50"/>
      <c r="D177" s="50"/>
      <c r="E177" s="50"/>
      <c r="F177" s="31">
        <v>11370</v>
      </c>
      <c r="G177" s="31"/>
      <c r="H177" s="31">
        <v>2493555</v>
      </c>
      <c r="I177" s="32">
        <f>H177/$H$189</f>
        <v>0.016098527824840128</v>
      </c>
      <c r="J177" s="33"/>
      <c r="K177" s="33"/>
      <c r="L177" s="33"/>
    </row>
    <row r="178" spans="1:12" s="34" customFormat="1" ht="12.75">
      <c r="A178" s="39"/>
      <c r="B178" s="39"/>
      <c r="C178" s="39"/>
      <c r="D178" s="39"/>
      <c r="E178" s="39"/>
      <c r="F178" s="31"/>
      <c r="G178" s="31"/>
      <c r="H178" s="31"/>
      <c r="I178" s="32"/>
      <c r="J178" s="33"/>
      <c r="K178" s="33"/>
      <c r="L178" s="33"/>
    </row>
    <row r="179" spans="1:12" s="34" customFormat="1" ht="12.75">
      <c r="A179" s="51" t="str">
        <f>"Wholesale-Miscellaneous Durable Goods - "&amp;TEXT((H180)/$H$189,"##0.00%")</f>
        <v>Wholesale-Miscellaneous Durable Goods - 1.90%</v>
      </c>
      <c r="B179" s="51"/>
      <c r="C179" s="51"/>
      <c r="D179" s="51"/>
      <c r="E179" s="51"/>
      <c r="F179" s="31"/>
      <c r="G179" s="31"/>
      <c r="H179" s="31"/>
      <c r="I179" s="31"/>
      <c r="J179" s="31"/>
      <c r="K179" s="33"/>
      <c r="L179" s="33"/>
    </row>
    <row r="180" spans="1:12" s="34" customFormat="1" ht="12.75">
      <c r="A180" s="50" t="s">
        <v>68</v>
      </c>
      <c r="B180" s="50"/>
      <c r="C180" s="50"/>
      <c r="D180" s="50"/>
      <c r="E180" s="50"/>
      <c r="F180" s="31">
        <v>7290</v>
      </c>
      <c r="G180" s="31"/>
      <c r="H180" s="31">
        <v>2941515</v>
      </c>
      <c r="I180" s="32">
        <f>H180/$H$189</f>
        <v>0.01899058215065824</v>
      </c>
      <c r="J180" s="31"/>
      <c r="K180" s="33"/>
      <c r="L180" s="33"/>
    </row>
    <row r="181" spans="1:12" s="34" customFormat="1" ht="12.75">
      <c r="A181" s="39"/>
      <c r="B181" s="39"/>
      <c r="C181" s="39"/>
      <c r="D181" s="39"/>
      <c r="E181" s="39"/>
      <c r="F181" s="31"/>
      <c r="G181" s="31"/>
      <c r="H181" s="31"/>
      <c r="J181" s="33"/>
      <c r="K181" s="33"/>
      <c r="L181" s="33"/>
    </row>
    <row r="182" spans="1:12" s="34" customFormat="1" ht="12.75">
      <c r="A182" s="51" t="str">
        <f>"X-Ray Apparatus &amp; Tubes &amp; Related Irradiation Apparatus- "&amp;TEXT((H183)/$H$189,"##0.00%")</f>
        <v>X-Ray Apparatus &amp; Tubes &amp; Related Irradiation Apparatus- 1.46%</v>
      </c>
      <c r="B182" s="51"/>
      <c r="C182" s="51"/>
      <c r="D182" s="51"/>
      <c r="E182" s="51"/>
      <c r="F182" s="31"/>
      <c r="G182" s="31"/>
      <c r="H182" s="31"/>
      <c r="I182" s="32"/>
      <c r="J182" s="33"/>
      <c r="K182" s="33"/>
      <c r="L182" s="33"/>
    </row>
    <row r="183" spans="1:12" s="34" customFormat="1" ht="12.75">
      <c r="A183" s="50" t="s">
        <v>96</v>
      </c>
      <c r="B183" s="50"/>
      <c r="C183" s="50"/>
      <c r="D183" s="50"/>
      <c r="E183" s="50"/>
      <c r="F183" s="31">
        <v>28978</v>
      </c>
      <c r="G183" s="31"/>
      <c r="H183" s="31">
        <v>2259125</v>
      </c>
      <c r="I183" s="32">
        <f>H183/$H$189</f>
        <v>0.014585034888860263</v>
      </c>
      <c r="J183" s="33"/>
      <c r="K183" s="33"/>
      <c r="L183" s="33"/>
    </row>
    <row r="184" spans="1:12" s="34" customFormat="1" ht="12.75">
      <c r="A184" s="39"/>
      <c r="B184" s="39"/>
      <c r="C184" s="39"/>
      <c r="D184" s="39"/>
      <c r="E184" s="39"/>
      <c r="F184" s="31" t="s">
        <v>103</v>
      </c>
      <c r="G184" s="31"/>
      <c r="H184" s="31"/>
      <c r="I184" s="32"/>
      <c r="J184" s="33"/>
      <c r="K184" s="33"/>
      <c r="L184" s="33"/>
    </row>
    <row r="185" spans="1:12" s="34" customFormat="1" ht="12.75">
      <c r="A185" s="51" t="str">
        <f>"Total Investments - "&amp;TEXT((H185)/$H$189+0.0001,"##0.00%")</f>
        <v>Total Investments - 97.04%</v>
      </c>
      <c r="B185" s="51"/>
      <c r="C185" s="51"/>
      <c r="D185" s="51"/>
      <c r="E185" s="51"/>
      <c r="F185" s="31" t="s">
        <v>104</v>
      </c>
      <c r="G185" s="31"/>
      <c r="H185" s="31">
        <f>H11+H17+H20+H23+H29+H35+H38+H41+H44+H47+H50+H53+H56+H59+H62+H65+H71+H74+H77+H83+H80+H86+H89+H95+H98+H105+H108+H111+H114+H117+H120+H123+H129+H135+H138+H141+H148+H151+H162+H165+H168+H171+H174+H177+H180+H183</f>
        <v>150289499</v>
      </c>
      <c r="I185" s="32">
        <f>H185/$H$189</f>
        <v>0.9702772473166955</v>
      </c>
      <c r="J185" s="33"/>
      <c r="K185" s="33"/>
      <c r="L185" s="33"/>
    </row>
    <row r="186" spans="1:12" s="34" customFormat="1" ht="12.75">
      <c r="A186" s="39"/>
      <c r="B186" s="39"/>
      <c r="C186" s="39"/>
      <c r="D186" s="39"/>
      <c r="E186" s="39"/>
      <c r="F186" s="31"/>
      <c r="G186" s="31"/>
      <c r="H186" s="31"/>
      <c r="I186" s="32"/>
      <c r="J186" s="33"/>
      <c r="K186" s="33"/>
      <c r="L186" s="33"/>
    </row>
    <row r="187" spans="1:12" s="34" customFormat="1" ht="12.75">
      <c r="A187" s="50" t="str">
        <f>"Other Assets Less Liabilities - "&amp;TEXT((H187)/$H$189+0.0002,"##0.00%")</f>
        <v>Other Assets Less Liabilities - 0.96%</v>
      </c>
      <c r="B187" s="50"/>
      <c r="C187" s="50"/>
      <c r="D187" s="50"/>
      <c r="E187" s="50"/>
      <c r="F187" s="31" t="s">
        <v>103</v>
      </c>
      <c r="G187" s="31"/>
      <c r="H187" s="31">
        <v>1452005</v>
      </c>
      <c r="I187" s="32"/>
      <c r="J187" s="33"/>
      <c r="K187" s="33"/>
      <c r="L187" s="33"/>
    </row>
    <row r="188" spans="1:12" s="34" customFormat="1" ht="12.75">
      <c r="A188" s="56"/>
      <c r="B188" s="56"/>
      <c r="C188" s="56"/>
      <c r="D188" s="56"/>
      <c r="E188" s="56"/>
      <c r="F188" s="31"/>
      <c r="G188" s="31"/>
      <c r="H188" s="31"/>
      <c r="I188" s="32"/>
      <c r="J188" s="33"/>
      <c r="K188" s="37"/>
      <c r="L188" s="34" t="s">
        <v>21</v>
      </c>
    </row>
    <row r="189" spans="1:12" s="34" customFormat="1" ht="12.75">
      <c r="A189" s="50" t="str">
        <f>"Total Net Assets - "&amp;TEXT((H189)/$H$189,"##0.00%")</f>
        <v>Total Net Assets - 100.00%</v>
      </c>
      <c r="B189" s="50"/>
      <c r="C189" s="50"/>
      <c r="D189" s="50"/>
      <c r="E189" s="50"/>
      <c r="F189" s="31"/>
      <c r="G189" s="31"/>
      <c r="H189" s="31">
        <f>154911971.84-18615.93</f>
        <v>154893355.91</v>
      </c>
      <c r="I189" s="32"/>
      <c r="J189" s="33"/>
      <c r="K189" s="49">
        <v>0</v>
      </c>
      <c r="L189" s="34" t="s">
        <v>22</v>
      </c>
    </row>
    <row r="190" spans="1:12" ht="12.75">
      <c r="A190" s="54"/>
      <c r="B190" s="54"/>
      <c r="C190" s="54"/>
      <c r="D190" s="54"/>
      <c r="E190" s="54"/>
      <c r="K190" s="42">
        <v>0</v>
      </c>
      <c r="L190" s="1" t="s">
        <v>23</v>
      </c>
    </row>
    <row r="191" spans="1:12" ht="13.5">
      <c r="A191" s="53" t="s">
        <v>4</v>
      </c>
      <c r="B191" s="53"/>
      <c r="C191" s="53"/>
      <c r="D191" s="53"/>
      <c r="E191" s="53"/>
      <c r="F191" s="53"/>
      <c r="G191" s="53"/>
      <c r="H191" s="53"/>
      <c r="K191" s="42">
        <v>28936.08</v>
      </c>
      <c r="L191" s="1" t="s">
        <v>24</v>
      </c>
    </row>
    <row r="192" spans="1:12" ht="12.75">
      <c r="A192" s="53" t="s">
        <v>20</v>
      </c>
      <c r="B192" s="53"/>
      <c r="C192" s="53"/>
      <c r="D192" s="53"/>
      <c r="E192" s="53"/>
      <c r="F192" s="53"/>
      <c r="G192" s="53"/>
      <c r="H192" s="53"/>
      <c r="J192" s="35"/>
      <c r="K192" s="42">
        <v>0</v>
      </c>
      <c r="L192" s="1" t="s">
        <v>25</v>
      </c>
    </row>
    <row r="193" spans="1:12" ht="12.75">
      <c r="A193" s="55" t="s">
        <v>5</v>
      </c>
      <c r="B193" s="55"/>
      <c r="C193" s="55"/>
      <c r="D193" s="55"/>
      <c r="E193" s="55"/>
      <c r="F193" s="55"/>
      <c r="G193" s="55"/>
      <c r="H193" s="55"/>
      <c r="I193" s="25">
        <f>H185/$H$189</f>
        <v>0.9702772473166955</v>
      </c>
      <c r="J193" s="36"/>
      <c r="K193" s="42">
        <v>18044.39</v>
      </c>
      <c r="L193" s="1" t="s">
        <v>26</v>
      </c>
    </row>
    <row r="194" spans="1:12" ht="12.75">
      <c r="A194" s="55" t="s">
        <v>6</v>
      </c>
      <c r="B194" s="55"/>
      <c r="C194" s="55"/>
      <c r="D194" s="55"/>
      <c r="E194" s="55"/>
      <c r="F194" s="55"/>
      <c r="G194" s="55"/>
      <c r="H194" s="55"/>
      <c r="J194" s="37"/>
      <c r="K194" s="42">
        <v>598.21</v>
      </c>
      <c r="L194" s="1" t="s">
        <v>27</v>
      </c>
    </row>
    <row r="195" spans="1:12" ht="12.75">
      <c r="A195" s="55" t="s">
        <v>7</v>
      </c>
      <c r="B195" s="55"/>
      <c r="C195" s="55"/>
      <c r="D195" s="55"/>
      <c r="E195" s="55"/>
      <c r="F195" s="55"/>
      <c r="G195" s="55"/>
      <c r="H195" s="55"/>
      <c r="I195" s="25">
        <f>H187/$H$189</f>
        <v>0.009374223906954925</v>
      </c>
      <c r="J195" s="36"/>
      <c r="K195" s="42">
        <v>17786.28</v>
      </c>
      <c r="L195" s="1" t="s">
        <v>28</v>
      </c>
    </row>
    <row r="196" spans="1:12" ht="12.75">
      <c r="A196" s="58"/>
      <c r="B196" s="58"/>
      <c r="C196" s="58"/>
      <c r="D196" s="58"/>
      <c r="E196" s="58"/>
      <c r="F196" s="58"/>
      <c r="G196" s="58"/>
      <c r="H196" s="58"/>
      <c r="J196" s="36"/>
      <c r="K196" s="43">
        <v>0</v>
      </c>
      <c r="L196" s="1"/>
    </row>
    <row r="197" spans="1:12" ht="12.75">
      <c r="A197" s="55" t="s">
        <v>106</v>
      </c>
      <c r="B197" s="55"/>
      <c r="C197" s="55"/>
      <c r="D197" s="55"/>
      <c r="E197" s="55"/>
      <c r="F197" s="55"/>
      <c r="G197" s="55"/>
      <c r="H197" s="55"/>
      <c r="I197" s="25">
        <f>H189/$H$189</f>
        <v>1</v>
      </c>
      <c r="J197" s="36"/>
      <c r="K197" s="44">
        <f>SUM(K189:K196)</f>
        <v>65364.96</v>
      </c>
      <c r="L197" s="1"/>
    </row>
    <row r="198" spans="1:12" ht="12.75">
      <c r="A198" s="8"/>
      <c r="B198" s="8"/>
      <c r="C198" s="8"/>
      <c r="D198" s="8"/>
      <c r="E198" s="8"/>
      <c r="K198" s="43">
        <v>-113647.8</v>
      </c>
      <c r="L198" s="1" t="s">
        <v>31</v>
      </c>
    </row>
    <row r="199" spans="6:13" s="8" customFormat="1" ht="12.75">
      <c r="F199" s="6"/>
      <c r="G199" s="6"/>
      <c r="H199" s="6"/>
      <c r="I199" s="25"/>
      <c r="J199" s="36"/>
      <c r="K199" s="42">
        <f>SUM(K197:K198)</f>
        <v>-48282.840000000004</v>
      </c>
      <c r="L199" s="1"/>
      <c r="M199" s="1"/>
    </row>
    <row r="200" spans="1:13" s="8" customFormat="1" ht="12.75">
      <c r="A200" s="9"/>
      <c r="B200" s="10"/>
      <c r="C200" s="10"/>
      <c r="D200" s="10"/>
      <c r="E200" s="10"/>
      <c r="F200" s="11" t="s">
        <v>8</v>
      </c>
      <c r="G200" s="11"/>
      <c r="H200" s="12" t="s">
        <v>10</v>
      </c>
      <c r="I200" s="25"/>
      <c r="J200" s="36"/>
      <c r="K200" s="42">
        <v>76939.51</v>
      </c>
      <c r="L200" s="1" t="s">
        <v>29</v>
      </c>
      <c r="M200" s="1"/>
    </row>
    <row r="201" spans="1:12" s="8" customFormat="1" ht="12.75">
      <c r="A201" s="13" t="s">
        <v>12</v>
      </c>
      <c r="B201" s="14"/>
      <c r="C201" s="14"/>
      <c r="D201" s="14"/>
      <c r="E201" s="14"/>
      <c r="F201" s="15" t="s">
        <v>9</v>
      </c>
      <c r="G201" s="15"/>
      <c r="H201" s="16" t="s">
        <v>11</v>
      </c>
      <c r="I201" s="25"/>
      <c r="J201" s="36"/>
      <c r="K201" s="43">
        <v>4228607.4</v>
      </c>
      <c r="L201" s="8" t="s">
        <v>30</v>
      </c>
    </row>
    <row r="202" spans="1:11" s="8" customFormat="1" ht="15">
      <c r="A202" s="17" t="s">
        <v>13</v>
      </c>
      <c r="B202" s="18"/>
      <c r="C202" s="18"/>
      <c r="D202" s="18"/>
      <c r="E202" s="19" t="s">
        <v>17</v>
      </c>
      <c r="F202" s="20">
        <f>H185</f>
        <v>150289499</v>
      </c>
      <c r="G202" s="19" t="s">
        <v>17</v>
      </c>
      <c r="H202" s="23" t="s">
        <v>18</v>
      </c>
      <c r="I202" s="25"/>
      <c r="J202" s="36"/>
      <c r="K202" s="42">
        <f>K199+K200+K201</f>
        <v>4257264.07</v>
      </c>
    </row>
    <row r="203" spans="1:12" s="8" customFormat="1" ht="15">
      <c r="A203" s="17" t="s">
        <v>14</v>
      </c>
      <c r="B203" s="18"/>
      <c r="C203" s="18"/>
      <c r="D203" s="18"/>
      <c r="E203" s="21"/>
      <c r="F203" s="23" t="s">
        <v>18</v>
      </c>
      <c r="G203" s="22"/>
      <c r="H203" s="23" t="s">
        <v>18</v>
      </c>
      <c r="I203" s="25"/>
      <c r="J203" s="36"/>
      <c r="K203" s="43">
        <v>-2005.21</v>
      </c>
      <c r="L203" s="8" t="s">
        <v>39</v>
      </c>
    </row>
    <row r="204" spans="1:11" s="8" customFormat="1" ht="15">
      <c r="A204" s="17" t="s">
        <v>15</v>
      </c>
      <c r="B204" s="18"/>
      <c r="C204" s="18"/>
      <c r="D204" s="18"/>
      <c r="E204" s="21"/>
      <c r="F204" s="19" t="s">
        <v>18</v>
      </c>
      <c r="G204" s="19"/>
      <c r="H204" s="23" t="s">
        <v>18</v>
      </c>
      <c r="I204" s="25"/>
      <c r="K204" s="40">
        <f>SUM(K202:K203)</f>
        <v>4255258.86</v>
      </c>
    </row>
    <row r="205" spans="1:12" s="8" customFormat="1" ht="15">
      <c r="A205" s="24" t="s">
        <v>16</v>
      </c>
      <c r="B205" s="18"/>
      <c r="C205" s="18"/>
      <c r="D205" s="18"/>
      <c r="E205" s="19" t="s">
        <v>17</v>
      </c>
      <c r="F205" s="20">
        <f>SUM(F202:F204)</f>
        <v>150289499</v>
      </c>
      <c r="G205" s="19" t="s">
        <v>17</v>
      </c>
      <c r="H205" s="23" t="s">
        <v>18</v>
      </c>
      <c r="I205" s="25"/>
      <c r="J205" s="37"/>
      <c r="K205" s="36"/>
      <c r="L205" s="36"/>
    </row>
    <row r="206" spans="1:12" s="8" customFormat="1" ht="12.75">
      <c r="A206" s="1"/>
      <c r="B206" s="1"/>
      <c r="C206" s="1"/>
      <c r="D206" s="1"/>
      <c r="E206" s="1"/>
      <c r="F206" s="6"/>
      <c r="G206" s="6"/>
      <c r="H206" s="6"/>
      <c r="I206" s="32"/>
      <c r="J206" s="37"/>
      <c r="K206" s="37"/>
      <c r="L206" s="36"/>
    </row>
    <row r="207" spans="1:12" s="8" customFormat="1" ht="12.75">
      <c r="A207" s="55" t="s">
        <v>33</v>
      </c>
      <c r="B207" s="55"/>
      <c r="C207" s="55"/>
      <c r="D207" s="55"/>
      <c r="E207" s="55"/>
      <c r="F207" s="55"/>
      <c r="G207" s="55"/>
      <c r="H207" s="55"/>
      <c r="I207" s="32"/>
      <c r="J207" s="37"/>
      <c r="K207" s="37" t="s">
        <v>38</v>
      </c>
      <c r="L207" s="36">
        <v>126740802.06</v>
      </c>
    </row>
    <row r="208" spans="1:12" ht="12.75">
      <c r="A208" s="55" t="s">
        <v>34</v>
      </c>
      <c r="B208" s="55"/>
      <c r="C208" s="55"/>
      <c r="D208" s="55"/>
      <c r="E208" s="55"/>
      <c r="F208" s="55"/>
      <c r="G208" s="55"/>
      <c r="H208" s="55"/>
      <c r="I208" s="32"/>
      <c r="J208" s="37"/>
      <c r="K208" s="38"/>
      <c r="L208" s="36">
        <v>-2005.21</v>
      </c>
    </row>
    <row r="209" spans="1:12" ht="12.75">
      <c r="A209" s="55" t="s">
        <v>35</v>
      </c>
      <c r="B209" s="55"/>
      <c r="C209" s="55"/>
      <c r="D209" s="55"/>
      <c r="E209" s="55"/>
      <c r="F209" s="55"/>
      <c r="G209" s="55"/>
      <c r="H209" s="55"/>
      <c r="I209" s="32"/>
      <c r="J209" s="37"/>
      <c r="K209" s="38"/>
      <c r="L209" s="36">
        <f>L207+L208</f>
        <v>126738796.85000001</v>
      </c>
    </row>
    <row r="210" spans="1:12" ht="12.75">
      <c r="A210" s="55" t="s">
        <v>36</v>
      </c>
      <c r="B210" s="55"/>
      <c r="C210" s="55"/>
      <c r="D210" s="55"/>
      <c r="E210" s="55"/>
      <c r="F210" s="55"/>
      <c r="G210" s="55"/>
      <c r="H210" s="55"/>
      <c r="I210" s="27"/>
      <c r="J210" s="37"/>
      <c r="K210" s="38"/>
      <c r="L210" s="36"/>
    </row>
    <row r="211" spans="9:12" ht="12.75">
      <c r="I211" s="27"/>
      <c r="J211" s="37"/>
      <c r="K211" s="38"/>
      <c r="L211" s="36"/>
    </row>
    <row r="212" spans="1:12" ht="15">
      <c r="A212" s="57" t="s">
        <v>105</v>
      </c>
      <c r="B212" s="57"/>
      <c r="C212" s="57"/>
      <c r="D212" s="57"/>
      <c r="E212" s="57"/>
      <c r="F212" s="57"/>
      <c r="G212" s="57"/>
      <c r="H212" s="57"/>
      <c r="I212" s="28"/>
      <c r="J212" s="36"/>
      <c r="K212" s="38"/>
      <c r="L212" s="36"/>
    </row>
    <row r="213" spans="10:13" ht="12.75">
      <c r="J213" s="36"/>
      <c r="K213" s="36"/>
      <c r="L213" s="36"/>
      <c r="M213" s="36"/>
    </row>
    <row r="214" spans="10:13" ht="12.75">
      <c r="J214" s="36"/>
      <c r="K214" s="36"/>
      <c r="L214" s="36"/>
      <c r="M214" s="36"/>
    </row>
    <row r="215" spans="10:13" ht="12.75">
      <c r="J215" s="36"/>
      <c r="K215" s="36"/>
      <c r="L215" s="36"/>
      <c r="M215" s="36"/>
    </row>
    <row r="216" spans="10:13" ht="12.75">
      <c r="J216" s="36"/>
      <c r="K216" s="36"/>
      <c r="L216" s="36"/>
      <c r="M216" s="36"/>
    </row>
    <row r="217" spans="10:13" ht="12.75">
      <c r="J217" s="36"/>
      <c r="K217" s="36"/>
      <c r="L217" s="36"/>
      <c r="M217" s="36"/>
    </row>
    <row r="218" spans="10:13" ht="12.75">
      <c r="J218" s="37"/>
      <c r="K218" s="36"/>
      <c r="L218" s="36"/>
      <c r="M218" s="36"/>
    </row>
    <row r="219" spans="10:13" ht="12.75">
      <c r="J219" s="36"/>
      <c r="K219" s="36"/>
      <c r="L219" s="36"/>
      <c r="M219" s="36"/>
    </row>
  </sheetData>
  <sheetProtection/>
  <mergeCells count="160">
    <mergeCell ref="A168:E168"/>
    <mergeCell ref="A169:E169"/>
    <mergeCell ref="A119:E119"/>
    <mergeCell ref="A120:E120"/>
    <mergeCell ref="A121:E121"/>
    <mergeCell ref="A159:E159"/>
    <mergeCell ref="A131:E131"/>
    <mergeCell ref="A155:E155"/>
    <mergeCell ref="A160:E160"/>
    <mergeCell ref="A158:E158"/>
    <mergeCell ref="A179:E179"/>
    <mergeCell ref="A180:E180"/>
    <mergeCell ref="A81:E81"/>
    <mergeCell ref="A89:E89"/>
    <mergeCell ref="A102:E102"/>
    <mergeCell ref="A125:E125"/>
    <mergeCell ref="A107:E107"/>
    <mergeCell ref="A123:E123"/>
    <mergeCell ref="A167:E167"/>
    <mergeCell ref="A157:E157"/>
    <mergeCell ref="A82:E82"/>
    <mergeCell ref="A124:E124"/>
    <mergeCell ref="A135:E135"/>
    <mergeCell ref="A97:E97"/>
    <mergeCell ref="A98:E98"/>
    <mergeCell ref="A99:E99"/>
    <mergeCell ref="A88:E88"/>
    <mergeCell ref="A133:E133"/>
    <mergeCell ref="A10:E10"/>
    <mergeCell ref="A11:E11"/>
    <mergeCell ref="A16:E16"/>
    <mergeCell ref="A25:E25"/>
    <mergeCell ref="A26:E26"/>
    <mergeCell ref="A79:E79"/>
    <mergeCell ref="A46:E46"/>
    <mergeCell ref="A19:E19"/>
    <mergeCell ref="A22:E22"/>
    <mergeCell ref="A33:E33"/>
    <mergeCell ref="A27:E27"/>
    <mergeCell ref="A28:E28"/>
    <mergeCell ref="A31:E31"/>
    <mergeCell ref="A185:E185"/>
    <mergeCell ref="A38:E38"/>
    <mergeCell ref="A40:E40"/>
    <mergeCell ref="A77:E77"/>
    <mergeCell ref="A67:E67"/>
    <mergeCell ref="A47:E47"/>
    <mergeCell ref="A49:E49"/>
    <mergeCell ref="A9:E9"/>
    <mergeCell ref="A150:E150"/>
    <mergeCell ref="A53:E53"/>
    <mergeCell ref="A58:E58"/>
    <mergeCell ref="A59:E59"/>
    <mergeCell ref="A29:E29"/>
    <mergeCell ref="A37:E37"/>
    <mergeCell ref="A13:E13"/>
    <mergeCell ref="A14:E14"/>
    <mergeCell ref="A15:E15"/>
    <mergeCell ref="A189:E189"/>
    <mergeCell ref="A191:H191"/>
    <mergeCell ref="A32:E32"/>
    <mergeCell ref="A195:H195"/>
    <mergeCell ref="A1:H1"/>
    <mergeCell ref="A2:H2"/>
    <mergeCell ref="A3:H3"/>
    <mergeCell ref="A6:C6"/>
    <mergeCell ref="A7:C7"/>
    <mergeCell ref="A8:H8"/>
    <mergeCell ref="A207:H207"/>
    <mergeCell ref="A208:H208"/>
    <mergeCell ref="A209:H209"/>
    <mergeCell ref="A210:H210"/>
    <mergeCell ref="A212:H212"/>
    <mergeCell ref="A196:H196"/>
    <mergeCell ref="A197:H197"/>
    <mergeCell ref="A192:H192"/>
    <mergeCell ref="A187:E187"/>
    <mergeCell ref="A190:E190"/>
    <mergeCell ref="A194:H194"/>
    <mergeCell ref="A193:H193"/>
    <mergeCell ref="A148:E148"/>
    <mergeCell ref="A188:E188"/>
    <mergeCell ref="A170:E170"/>
    <mergeCell ref="A171:E171"/>
    <mergeCell ref="A182:E182"/>
    <mergeCell ref="A30:E30"/>
    <mergeCell ref="A162:E162"/>
    <mergeCell ref="A114:E114"/>
    <mergeCell ref="A80:E80"/>
    <mergeCell ref="A68:E68"/>
    <mergeCell ref="A76:E76"/>
    <mergeCell ref="A63:E63"/>
    <mergeCell ref="A151:E151"/>
    <mergeCell ref="A50:E50"/>
    <mergeCell ref="A132:E132"/>
    <mergeCell ref="A55:E55"/>
    <mergeCell ref="A39:E39"/>
    <mergeCell ref="A41:E41"/>
    <mergeCell ref="A45:E45"/>
    <mergeCell ref="A57:E57"/>
    <mergeCell ref="A61:E61"/>
    <mergeCell ref="A44:E44"/>
    <mergeCell ref="A56:E56"/>
    <mergeCell ref="A43:E43"/>
    <mergeCell ref="A52:E52"/>
    <mergeCell ref="A140:E140"/>
    <mergeCell ref="A113:E113"/>
    <mergeCell ref="A126:E126"/>
    <mergeCell ref="A152:E152"/>
    <mergeCell ref="A129:E129"/>
    <mergeCell ref="A127:E127"/>
    <mergeCell ref="A137:E137"/>
    <mergeCell ref="A141:E141"/>
    <mergeCell ref="A122:E122"/>
    <mergeCell ref="A85:E85"/>
    <mergeCell ref="A86:E86"/>
    <mergeCell ref="A101:E101"/>
    <mergeCell ref="A110:E110"/>
    <mergeCell ref="A91:E91"/>
    <mergeCell ref="A111:E111"/>
    <mergeCell ref="A66:E66"/>
    <mergeCell ref="A164:E164"/>
    <mergeCell ref="A62:E62"/>
    <mergeCell ref="A78:E78"/>
    <mergeCell ref="A64:E64"/>
    <mergeCell ref="A65:E65"/>
    <mergeCell ref="A142:E142"/>
    <mergeCell ref="A100:E100"/>
    <mergeCell ref="A112:E112"/>
    <mergeCell ref="A83:E83"/>
    <mergeCell ref="A116:E116"/>
    <mergeCell ref="A117:E117"/>
    <mergeCell ref="A165:E165"/>
    <mergeCell ref="A153:E153"/>
    <mergeCell ref="A146:E146"/>
    <mergeCell ref="A161:E161"/>
    <mergeCell ref="A145:E145"/>
    <mergeCell ref="A138:E138"/>
    <mergeCell ref="A144:E144"/>
    <mergeCell ref="A154:E154"/>
    <mergeCell ref="A183:E183"/>
    <mergeCell ref="A73:E73"/>
    <mergeCell ref="A74:E74"/>
    <mergeCell ref="A75:E75"/>
    <mergeCell ref="A176:E176"/>
    <mergeCell ref="A177:E177"/>
    <mergeCell ref="A173:E173"/>
    <mergeCell ref="A174:E174"/>
    <mergeCell ref="A96:E96"/>
    <mergeCell ref="A172:E172"/>
    <mergeCell ref="A69:E69"/>
    <mergeCell ref="A92:E92"/>
    <mergeCell ref="A93:E93"/>
    <mergeCell ref="A94:E94"/>
    <mergeCell ref="A109:E109"/>
    <mergeCell ref="A143:E143"/>
    <mergeCell ref="A139:E139"/>
    <mergeCell ref="A108:E108"/>
    <mergeCell ref="A95:E95"/>
    <mergeCell ref="A105:E105"/>
  </mergeCells>
  <printOptions/>
  <pageMargins left="0.75" right="0.75" top="1" bottom="1" header="0.5" footer="0.5"/>
  <pageSetup horizontalDpi="600" verticalDpi="600" orientation="portrait" scale="67" r:id="rId1"/>
  <rowBreaks count="1" manualBreakCount="1">
    <brk id="7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SMW-PC1</dc:creator>
  <cp:keywords/>
  <dc:description/>
  <cp:lastModifiedBy>Greg Getts</cp:lastModifiedBy>
  <dcterms:created xsi:type="dcterms:W3CDTF">2020-03-31T17:01:31Z</dcterms:created>
  <dcterms:modified xsi:type="dcterms:W3CDTF">2024-05-08T18:35:07Z</dcterms:modified>
  <cp:category/>
  <cp:version/>
  <cp:contentType/>
  <cp:contentStatus/>
</cp:coreProperties>
</file>