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70" windowHeight="11640" activeTab="0"/>
  </bookViews>
  <sheets>
    <sheet name="Wise" sheetId="1" r:id="rId1"/>
  </sheets>
  <externalReferences>
    <externalReference r:id="rId4"/>
  </externalReferences>
  <definedNames>
    <definedName name="_xlfn._FV" hidden="1">#NAME?</definedName>
    <definedName name="_xlfn.ANCHORARRAY" hidden="1">#NAME?</definedName>
    <definedName name="_xlnm.Print_Area" localSheetId="0">'Wise'!$A$1:$H$323</definedName>
    <definedName name="_xlnm.Print_Titles" localSheetId="0">'Wise'!$5:$6</definedName>
  </definedNames>
  <calcPr fullCalcOnLoad="1"/>
</workbook>
</file>

<file path=xl/sharedStrings.xml><?xml version="1.0" encoding="utf-8"?>
<sst xmlns="http://schemas.openxmlformats.org/spreadsheetml/2006/main" count="196" uniqueCount="181">
  <si>
    <t>Schedule of Investments</t>
  </si>
  <si>
    <t>Fair Value ($)(1)</t>
  </si>
  <si>
    <t>Shares or Principal</t>
  </si>
  <si>
    <t>Amount ($)</t>
  </si>
  <si>
    <t>Security Description</t>
  </si>
  <si>
    <t>Total Common Stocks</t>
  </si>
  <si>
    <r>
      <t xml:space="preserve">(1)  </t>
    </r>
    <r>
      <rPr>
        <b/>
        <i/>
        <sz val="10"/>
        <rFont val="Times New Roman"/>
        <family val="1"/>
      </rPr>
      <t>Statement on Financial Accounting Standard No. 157 "Fair Value Measurements"</t>
    </r>
    <r>
      <rPr>
        <sz val="10"/>
        <rFont val="Times New Roman"/>
        <family val="1"/>
      </rPr>
      <t xml:space="preserve"> - Various inputs are used in determining the value of the Fund's investments.</t>
    </r>
  </si>
  <si>
    <t xml:space="preserve">        • Level 1 - quoted prices in active markets for identical securities</t>
  </si>
  <si>
    <t xml:space="preserve">        • Level 2 - other significant observable inputs (including quoted prices for similar securities, interest rates, prepayment speeds, credit risk, etc.)</t>
  </si>
  <si>
    <t xml:space="preserve">        • Level 3 - significant unobservable inputs (including the Fund's own assumptions in determining the fair value of investments)</t>
  </si>
  <si>
    <t xml:space="preserve">Investments in </t>
  </si>
  <si>
    <t>Securities</t>
  </si>
  <si>
    <t>Other Financial</t>
  </si>
  <si>
    <t>Valuation Inputs</t>
  </si>
  <si>
    <t>Level 1 - Quoted Prices</t>
  </si>
  <si>
    <t>Level 2 - Other Significant Observable Inputs</t>
  </si>
  <si>
    <t>Level 3 - Significant Unobservable Inputs</t>
  </si>
  <si>
    <t>Total</t>
  </si>
  <si>
    <t>$</t>
  </si>
  <si>
    <t>-</t>
  </si>
  <si>
    <t xml:space="preserve">       The inputs or methodology used for valuing securities are not necessarily an indication of the risk associated with investing in those securities. For example, short-term</t>
  </si>
  <si>
    <t xml:space="preserve">       debt instruments and repurchase agreements with a maturity of less than 60 days are valued using amortized cost, in accordance with rules under the Investment</t>
  </si>
  <si>
    <t xml:space="preserve">       Company Act of 1940. Generally, amortized cost approximates the current fair value of a security, but since the value is not obtained from a quoted price in an active</t>
  </si>
  <si>
    <t xml:space="preserve">       market, such securities are reflected as Level 2.</t>
  </si>
  <si>
    <t>Total Trade Finance Agreements</t>
  </si>
  <si>
    <t>Total Bank Time Deposits</t>
  </si>
  <si>
    <t xml:space="preserve">       These inputs are summarized in the three broad levels listed below.</t>
  </si>
  <si>
    <t>W.W. Grainger, Inc.</t>
  </si>
  <si>
    <t>Dover Corp.</t>
  </si>
  <si>
    <t>Emerson Electric Co.</t>
  </si>
  <si>
    <t>Illinois Tool Works, Inc.</t>
  </si>
  <si>
    <t>Air Products &amp; Chemicals, Inc.</t>
  </si>
  <si>
    <t>Cintas Corp.</t>
  </si>
  <si>
    <t>Abbott Laboratories</t>
  </si>
  <si>
    <t>Johnson &amp; Johnson</t>
  </si>
  <si>
    <t>Albemarle Corp.</t>
  </si>
  <si>
    <t>Target Corp.</t>
  </si>
  <si>
    <t>Ecolab, Inc.</t>
  </si>
  <si>
    <t>Genuine Parts Co.</t>
  </si>
  <si>
    <t>Linde AG PLC (Ireland)</t>
  </si>
  <si>
    <t>Medtronic PLC (Ireland)</t>
  </si>
  <si>
    <t>Pentair PLC (Ireland)</t>
  </si>
  <si>
    <t>Acquisition</t>
  </si>
  <si>
    <t>Value</t>
  </si>
  <si>
    <t>Total Sukuks</t>
  </si>
  <si>
    <t>percent of net assets</t>
  </si>
  <si>
    <t>Instruments</t>
  </si>
  <si>
    <t>Date (3)</t>
  </si>
  <si>
    <t>Cost (3)</t>
  </si>
  <si>
    <t>(4) Floating/variable note with current rate and current maturity or next reset date shown.</t>
  </si>
  <si>
    <t>(5) Variable rate instrument, varying maturity dates ranging from one month to nine months; 7 day demand redemption clause per deposit.</t>
  </si>
  <si>
    <t>(6) total currents</t>
  </si>
  <si>
    <t>(3) total currents</t>
  </si>
  <si>
    <t>Azzad Wise Capital Fund</t>
  </si>
  <si>
    <t>Trial</t>
  </si>
  <si>
    <t>CBB International Sukuk Six, REGS, 5.250%, 03/20/2025 (Bahrain)</t>
  </si>
  <si>
    <t>Oman, Government, Series 144A, 4.397%, 06/01/2024 (Oman) (6)</t>
  </si>
  <si>
    <t>Saudi Telecom Co., Series 144A, 3.890%, 05/13/2029 (Saudi Arabia) (6)</t>
  </si>
  <si>
    <t>LIBOR – London Interbank Offered Rate.</t>
  </si>
  <si>
    <t>PPG Industries, Inc.</t>
  </si>
  <si>
    <t>Essex Property Trust, Inc.</t>
  </si>
  <si>
    <t>Total Real Estate Investment Trusts</t>
  </si>
  <si>
    <t>Nucor Corp.</t>
  </si>
  <si>
    <t>Sysco Corp.</t>
  </si>
  <si>
    <t>CBB International Sukuk Progr. Co., REGS, 6.250%, 11/14/2024 (Bahrain)</t>
  </si>
  <si>
    <t>MAF Sukuk Ltd., Sr. Unsecd. Note, 4.500%, 11/03/2025 (Cayman Islands)</t>
  </si>
  <si>
    <t>Aldar Sukuk Ltd., 4.750%, 09/29/2025 (Cayman Islands)</t>
  </si>
  <si>
    <t>Sharjah Sukuk Ltd., 3.854%, 04/03/2026 (Cayman Islands)</t>
  </si>
  <si>
    <t>Esic Sukuk Ltd., 3.939%, 07/30/2024 (Cayman Islands)</t>
  </si>
  <si>
    <t>CBB International Sukuk Progr. SPC., REGS, 6.250%, 11/14/2024 (Bahrain)</t>
  </si>
  <si>
    <t>Nport</t>
  </si>
  <si>
    <t>Nport EX</t>
  </si>
  <si>
    <t>Difference</t>
  </si>
  <si>
    <t>Becton, Dickinson &amp; Co.</t>
  </si>
  <si>
    <t>The Clorox Co.</t>
  </si>
  <si>
    <t>The Coca-Cola Co.</t>
  </si>
  <si>
    <t>Colgate-Palmolive Co.</t>
  </si>
  <si>
    <t>DAE Sukuk DIFC Ltd., Series 144A, 3.750%, 02/15/2026 (United Arab Emirates) (6)</t>
  </si>
  <si>
    <t>DIFC Investments LLC, Note, Series REGS, 4.325%, 11/12/2024 (United Arab Emirates)</t>
  </si>
  <si>
    <t>Kimberly-Clark Corp.</t>
  </si>
  <si>
    <t>Lowe's Companies, Inc.</t>
  </si>
  <si>
    <t>McCormick &amp; Company, Inc.</t>
  </si>
  <si>
    <t>PepsiCo, Inc.</t>
  </si>
  <si>
    <t>Sharjah Sukuk Ltd., 3.764%, 09/17/2024 (Cayman Islands)</t>
  </si>
  <si>
    <t>The Sherwin-Williams Co.</t>
  </si>
  <si>
    <t>Tabreed Sukuk SPC, Ltd, Sr. Unsecd. Note REGS, 5.500%, 10/31/2025 (United Arab Emirates)</t>
  </si>
  <si>
    <t>West Pharmaceutical Services, Inc.</t>
  </si>
  <si>
    <t>TNB Global Ventures Cap., Sr. Unsecd. Note, Series EMTN, 3.244%, 10/19/2026 (Malaysia)</t>
  </si>
  <si>
    <t>Axiata Spv2 Bhd, 4.357%, 03/24/2026 (Malaysia)</t>
  </si>
  <si>
    <t>SA Global Sukuk, Ltd., Sr. Unsecd. Note, Series 144A, 0.946%, 06/17/2024 (Cayman Islands) (6)</t>
  </si>
  <si>
    <t>SA Global Sukuk, Ltd., Sr. Unsecd. Note, Series 144A, 2.694%, 06/17/2031 (Cayman Islands) (6)</t>
  </si>
  <si>
    <t>CBB International Sukuk Progr. SPC., Series 144A, 3.950%, 09/16/2027 (Bahrain) (6)</t>
  </si>
  <si>
    <t>Hazine Mustesarligi, Series 144A, 5.125%, 06/22/2026 (Turkey) (6)</t>
  </si>
  <si>
    <t>Oman, Government, Series 144A, 4.875%, 06/15/2030 (Oman) (6)</t>
  </si>
  <si>
    <t>Oman, Government, Series 144A, 5.932%, 10/31/2025 (Oman) (6)</t>
  </si>
  <si>
    <t>Oman, Government, Sr. Unsecd. Series REGS, 4.397%, 06/01/2024 (Oman) (6)</t>
  </si>
  <si>
    <t>Roper Technologies, Inc.</t>
  </si>
  <si>
    <t>CBB International Sukuk Progr. WLL., Series 144A, 3.875%, 05/18/2029 (Bahrain) (1)</t>
  </si>
  <si>
    <t>The Procter Gamble Co.</t>
  </si>
  <si>
    <t>(2) Represents non-income producing securities.</t>
  </si>
  <si>
    <t xml:space="preserve">A.O. Smith Corp.  </t>
  </si>
  <si>
    <t>Portfolio Holdings Industry Current</t>
  </si>
  <si>
    <t>cost</t>
  </si>
  <si>
    <t>Dividends reinvest</t>
  </si>
  <si>
    <t>Expeditors International of Washington, Inc.   (2)</t>
  </si>
  <si>
    <t>KIB Sukuk Ltd., Sub, 2.375%, 11/30/2030 (Cayman Islands)</t>
  </si>
  <si>
    <t>Perusahaan Penerbit SBSN Indois Sukuk, Series 144A, 4.150%, 03/29/2027 (Indonesia)</t>
  </si>
  <si>
    <t>Perusahaan Penerbit SBSN Indois Sukuk, Series 144A, 3.900%, 08/20/2024 (Indonesia)</t>
  </si>
  <si>
    <t>Wakala Global Sukuk BHD, REGS, 3.179%, 04/27/2026 (Malaysia)</t>
  </si>
  <si>
    <t>Wakala Global Sukuk BHD, REGS, 3.043%, 04/22/2025 (Malaysia)</t>
  </si>
  <si>
    <t>4/3 Redemptions</t>
  </si>
  <si>
    <t>Egypt Taskeek Co. Sr. Unsecd. Note Series 144A, 10.875%, 02/28/2026 (Egypt) (6)</t>
  </si>
  <si>
    <t>(Cost $           210,617,454)</t>
  </si>
  <si>
    <t>Nordson Corp. (2)</t>
  </si>
  <si>
    <t>C.H. Robinson Worldwide, Inc. (2)</t>
  </si>
  <si>
    <t>AUB Sukuk, Ltd., Sr. Unsecured Note, Series EMTN, 2.615%, 09/09/2026 (Cayman Islands)</t>
  </si>
  <si>
    <t>Church &amp; Dwight Co., Inc.</t>
  </si>
  <si>
    <t>DIB Sukuk, Ltd.,  Sr. Unsecd. Note, 2.950%, 02/20/2025 (Cayman Islands)</t>
  </si>
  <si>
    <t>ICD Sukuk Co. Ltd., Sr., 5.000%, 02/01/2027 (Cayman Islands)</t>
  </si>
  <si>
    <t>IDB Trust Services, Ltd. REGS, 1.957%, 10/02/2024 (Jersey)</t>
  </si>
  <si>
    <t>Perusahaan Pener Indois Sukuk, Series REGS, 2.300%, 06/23/2026 (Indonesia)</t>
  </si>
  <si>
    <t>Perusahaan Pener Indois Sukuk, Series REGS, 2.300%, 06/23/2026 (Indonesia) (6)</t>
  </si>
  <si>
    <t>Perusahaan Penerbit SBSN Indois Sukuk, REGS, 3.900%, 08/20/2024 (Indonesia) (6)</t>
  </si>
  <si>
    <t>EMG Sukuk Ltd, 4.564%, 06/18/2024 (Cayman Islands)</t>
  </si>
  <si>
    <t>Kenvue, Inc.</t>
  </si>
  <si>
    <t>Chevron Corp.</t>
  </si>
  <si>
    <t>Exxon Mobil Corp.</t>
  </si>
  <si>
    <t>(Cost $          10,458,391)</t>
  </si>
  <si>
    <t>S&amp;P Global, Inc.</t>
  </si>
  <si>
    <t>AbbVie, Inc. (2)</t>
  </si>
  <si>
    <t>Fastenal Co.</t>
  </si>
  <si>
    <t>(Cost $               542,659)</t>
  </si>
  <si>
    <t>Arab Banking Corp., NY Branch, 5.800%, 06/18/2024 (Bahrain)</t>
  </si>
  <si>
    <t>Arab Banking Corp., NY Branch, 5.600%, 06/12/2024 (Bahrain)</t>
  </si>
  <si>
    <t>Arab Banking Corp., NY Branch, 5.690%, 11/25/2024 (Bahrain)</t>
  </si>
  <si>
    <t>Arab Banking Corp., NY Branch, 5.600%, 07/25/2024 (Bahrain)</t>
  </si>
  <si>
    <t>Arab Banking Corp., NY Branch, 5.71%, 09/06/2024 (Bahrain)</t>
  </si>
  <si>
    <t>Gulf International Bank (UK), 4.95%, 7/29/2024 (Bahrain)</t>
  </si>
  <si>
    <t>Gulf International Bank (UK), 5.00%, 6/13/2024 (Bahrain)</t>
  </si>
  <si>
    <t>Gulf International Bank (UK), 4.80%, 6/28/2024 (Bahrain)</t>
  </si>
  <si>
    <t>Gulf International Bank (UK), 4.80%, 6/17/2024 (Bahrain)</t>
  </si>
  <si>
    <t>MayBank Islamic Bank, 5.720%, 08/06/2024 (Malaysia)</t>
  </si>
  <si>
    <t>MayBank Islamic Bank, 5.370%, 05/29/2024 (Malaysia)</t>
  </si>
  <si>
    <t>MayBank Islamic Bank, 5.720%, 04/15/2024 (Malaysia)</t>
  </si>
  <si>
    <t>MayBank Islamic Bank, 5.300%, 07/15/2024 (Malaysia)</t>
  </si>
  <si>
    <t>MayBank Islamic Bank, 5.270%, 06/18/2024 (Malaysia)</t>
  </si>
  <si>
    <t>MayBank Islamic Bank, 5.720%, 05/06/2024 (Malaysia)</t>
  </si>
  <si>
    <t>MayBank Islamic Bank, 5.300%, 07/29/2024 (Malaysia)</t>
  </si>
  <si>
    <t>MayBank Islamic Bank, 5.720%, 04/23/2024 (Malaysia)</t>
  </si>
  <si>
    <t>Qatar National Bank, 6.040%, 05/03/2024 (Qatar)</t>
  </si>
  <si>
    <t>Qatar National Bank, 5.800%, 09/18/2024 (Qatar)</t>
  </si>
  <si>
    <t>Qatar National Bank, 5.890%, 09/13/2024 (Qatar)</t>
  </si>
  <si>
    <t>Turk Eximbank, 8.728%, (12-months SOFR +3.350%) 09/17/2024</t>
  </si>
  <si>
    <t>Government of Egypt, 7.427%, 05/24/2024 DD8 (Egypt)</t>
  </si>
  <si>
    <t>Government of Egypt, 7.427%, 05/24/2024 DD9 (Egypt)</t>
  </si>
  <si>
    <t>Government of Egypt, 7.887%, 08/27/2024 DD10 (Egypt)</t>
  </si>
  <si>
    <t>Sharjah Sukuk Program, Sr. Unsecd, Note, 3.234%, 10/23/2029 (Cayman Islands)</t>
  </si>
  <si>
    <t xml:space="preserve">Saudi Electricity Global, Sr. Unsecd. Note REGS, 2.413%, 09/17/2030 (Saudi Arabia) </t>
  </si>
  <si>
    <t xml:space="preserve">Saudi Electricity Global, Sr. Unsecd. Note REGS, 1.740%, 09/17/2025 (Saudi Arabia) </t>
  </si>
  <si>
    <t>Ras al-Khaimah, 3.094%, 03/31/2025 (Cayman Islands)</t>
  </si>
  <si>
    <t>Hazine Mustesarligi Varli, Sr. Unsecd. Note, Series REGS, 9.758%, 11/13/2025 (Turkey)</t>
  </si>
  <si>
    <t>Hazine Mustesarligi Varli, Sr. Unsecd. Note, Series REGS, 5.125%, 06/22/2026 (Turkey)</t>
  </si>
  <si>
    <t>Emaar Sukuk Ltd., Sr. Unsecd. Note, Series EMTN, 3.700%, 07/06/2031 (Cayman Islands)</t>
  </si>
  <si>
    <t>Aldar Sukuk Ltd., Sr. Unsecd. Note, Series REGS, 4.875%, 05/24/2033 (Cayman Islands)</t>
  </si>
  <si>
    <t>FAB Sukuk, Ltd. Sr. Unsecd. Note, Series 144A, 2.591%, 03/02/2027 (Cayman Islands)</t>
  </si>
  <si>
    <t>Suci Secone Investment Co, Sr. Unsecd. Note, 6%, 10/25/2028 (Cayman Islands)</t>
  </si>
  <si>
    <t>Nogaholding Sukuk, Sr. Unsecd Note, Series REGS, 5.25%, 04/08/2029 (Bahrain)</t>
  </si>
  <si>
    <t>EDO Sukuk, Ltd., Sr. Unsecd. Note, Series 144A, 5.875%, 09/21/2033 (Bahrain)</t>
  </si>
  <si>
    <t>Axiata Spv2 Bhd, Series REGS, 2.163%, 08/19/2030 (Cayman Islands)</t>
  </si>
  <si>
    <t>Aldar Sukuk (No. 2) Ltd., Sr. Unsecd. Note, Series EMTN, 3.875%, 10/22/2029 (Cayman Islands)</t>
  </si>
  <si>
    <t>Air Lease Corp. Sukuk Ltd., Sr. Unsecd. Note, Series 144A, 5.850%, 04/01/2028 (Bahrain)</t>
  </si>
  <si>
    <t>Banque Saudi Fransi, Sr. Unsecd. Note, 4.75%, 05/31/2028 (Saudi Arabia)</t>
  </si>
  <si>
    <t>AL Rajhi Sukuk, Ltd., Sr. Unsecd. Note, Series REGS, 4.750%, 04/05/2028 (Saudi Arabia)</t>
  </si>
  <si>
    <t>ADIB Sukuk II Company Ltd, Sr. Unsecd. Note, 5.695%, 11/15/2028 (Cayman Islands)</t>
  </si>
  <si>
    <t>(Cost $          59,890,472)</t>
  </si>
  <si>
    <t>(Cost $        166,387,518)</t>
  </si>
  <si>
    <t xml:space="preserve">       The following is a summary of the inputs used as of March 28, 2024 in valuing the Fund's assets carried at fair value:</t>
  </si>
  <si>
    <t>March 31, 2024 (unaudited)</t>
  </si>
  <si>
    <t>CBB International Sukuk Progr. WLL., Sr. Unsecd., Series REGS, 3.875%, 05/18/2029 (Bahrain)</t>
  </si>
  <si>
    <t>(3) Denotes a restricted security that either: (a) cannot be offered for public sale without first being registered, or availing of an exemption from registration, under the Securities Act of 1933; or (b) is subject to a contractual restriction on public sales. At March 28, 2024, these restricted securities amounted to $2,361,879, which represented 0.91% of total net assets.</t>
  </si>
  <si>
    <t>(6) Denotes a restricted security that may be sold without restriction to "qualified institutional buyers" as defined in Rule 144A under the Securities Act of 1933 and that the Fund has determined to be liquid under criteria established by the Fund's Board of Trustees. At March 28, 2024, these liquid restricted securities amount to $36,352,297, which represented 13.96% of total net assets.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</si>
</sst>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m\ dd\,\ yyyy"/>
    <numFmt numFmtId="169" formatCode="&quot;$&quot;* #,##0"/>
    <numFmt numFmtId="170" formatCode="* #,##0"/>
    <numFmt numFmtId="171" formatCode="0.0%"/>
    <numFmt numFmtId="172" formatCode="0.000%"/>
    <numFmt numFmtId="173" formatCode="0.0000%"/>
    <numFmt numFmtId="174" formatCode="0.00000%"/>
    <numFmt numFmtId="175" formatCode="0.000000%"/>
    <numFmt numFmtId="176" formatCode="[$-409]h:mm:ss\ AM/PM"/>
    <numFmt numFmtId="177" formatCode="#,##0.00;\(#,##0.00\)"/>
    <numFmt numFmtId="178" formatCode="#,##0.000;\(#,##0.000\)"/>
    <numFmt numFmtId="179" formatCode="[$-409]dddd\,\ mmmm\ d\,\ yyyy"/>
    <numFmt numFmtId="180" formatCode="0.000"/>
    <numFmt numFmtId="181" formatCode="0.0"/>
    <numFmt numFmtId="182" formatCode="_(* #,##0.0_);_(* \(#,##0.0\);_(* &quot;-&quot;??_);_(@_)"/>
    <numFmt numFmtId="183" formatCode="_(* #,##0_);_(* \(#,##0\);_(* &quot;-&quot;??_);_(@_)"/>
    <numFmt numFmtId="184" formatCode="_(&quot;$&quot;* #,##0.0_);_(&quot;$&quot;* \(#,##0.0\);_(&quot;$&quot;* &quot;-&quot;??_);_(@_)"/>
    <numFmt numFmtId="185" formatCode="_(&quot;$&quot;* #,##0_);_(&quot;$&quot;* \(#,##0\);_(&quot;$&quot;* &quot;-&quot;??_);_(@_)"/>
    <numFmt numFmtId="186" formatCode="_(&quot;$&quot;* #,##0.000_);_(&quot;$&quot;* \(#,##0.000\);_(&quot;$&quot;* &quot;-&quot;??_);_(@_)"/>
    <numFmt numFmtId="187" formatCode="#,##0.0_);\(#,##0.0\)"/>
    <numFmt numFmtId="188" formatCode="[$-409]dddd\,\ mmmm\ dd\,\ yyyy"/>
    <numFmt numFmtId="189" formatCode="mmm\-yyyy"/>
  </numFmts>
  <fonts count="34">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0"/>
      <name val="Times New Roman"/>
      <family val="1"/>
    </font>
    <font>
      <b/>
      <u val="single"/>
      <sz val="10"/>
      <name val="Times New Roman"/>
      <family val="1"/>
    </font>
    <font>
      <b/>
      <sz val="10"/>
      <color indexed="9"/>
      <name val="Times New Roman"/>
      <family val="1"/>
    </font>
    <font>
      <b/>
      <i/>
      <sz val="10"/>
      <name val="Times New Roman"/>
      <family val="1"/>
    </font>
    <font>
      <sz val="11"/>
      <color indexed="8"/>
      <name val="Times New Roman"/>
      <family val="1"/>
    </font>
    <font>
      <sz val="10"/>
      <color indexed="8"/>
      <name val="Times New Roman"/>
      <family val="1"/>
    </font>
    <font>
      <sz val="11"/>
      <name val="Times New Roman"/>
      <family val="1"/>
    </font>
    <font>
      <sz val="10"/>
      <color indexed="8"/>
      <name val="Arial"/>
      <family val="2"/>
    </font>
    <font>
      <sz val="9"/>
      <name val="Verdana"/>
      <family val="2"/>
    </font>
    <font>
      <sz val="9"/>
      <color indexed="8"/>
      <name val="Verdana"/>
      <family val="2"/>
    </font>
    <font>
      <sz val="10"/>
      <color theme="1"/>
      <name val="Times New Roman"/>
      <family val="1"/>
    </font>
    <font>
      <sz val="9"/>
      <color rgb="FF000000"/>
      <name val="Verdan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rgb="FF92D05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 fillId="0" borderId="0">
      <alignment/>
      <protection/>
    </xf>
    <xf numFmtId="0" fontId="2"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16">
    <xf numFmtId="0" fontId="0" fillId="0" borderId="0" xfId="0" applyAlignment="1">
      <alignment/>
    </xf>
    <xf numFmtId="0" fontId="22" fillId="0" borderId="0" xfId="0" applyFont="1" applyAlignment="1">
      <alignment/>
    </xf>
    <xf numFmtId="0" fontId="21" fillId="0" borderId="0" xfId="0" applyFont="1" applyAlignment="1">
      <alignment/>
    </xf>
    <xf numFmtId="0" fontId="21" fillId="0" borderId="10" xfId="0" applyFont="1" applyBorder="1" applyAlignment="1">
      <alignment horizontal="center"/>
    </xf>
    <xf numFmtId="0" fontId="22" fillId="0" borderId="0" xfId="0" applyFont="1" applyBorder="1" applyAlignment="1">
      <alignment horizontal="left"/>
    </xf>
    <xf numFmtId="37" fontId="21" fillId="0" borderId="0" xfId="0" applyNumberFormat="1" applyFont="1" applyAlignment="1">
      <alignment horizontal="center"/>
    </xf>
    <xf numFmtId="37" fontId="21" fillId="0" borderId="0" xfId="0" applyNumberFormat="1" applyFont="1" applyAlignment="1">
      <alignment horizontal="right"/>
    </xf>
    <xf numFmtId="37" fontId="21" fillId="0" borderId="10" xfId="0" applyNumberFormat="1" applyFont="1" applyBorder="1" applyAlignment="1">
      <alignment horizontal="right"/>
    </xf>
    <xf numFmtId="37" fontId="22" fillId="0" borderId="0" xfId="0" applyNumberFormat="1" applyFont="1" applyAlignment="1">
      <alignment horizontal="right"/>
    </xf>
    <xf numFmtId="0" fontId="21" fillId="0" borderId="0" xfId="0" applyFont="1" applyBorder="1" applyAlignment="1">
      <alignment horizontal="center"/>
    </xf>
    <xf numFmtId="37" fontId="22" fillId="0" borderId="0" xfId="0" applyNumberFormat="1" applyFont="1" applyAlignment="1">
      <alignment/>
    </xf>
    <xf numFmtId="0" fontId="22" fillId="0" borderId="11" xfId="0" applyFont="1" applyBorder="1" applyAlignment="1">
      <alignment/>
    </xf>
    <xf numFmtId="0" fontId="22" fillId="0" borderId="12" xfId="0" applyFont="1" applyBorder="1" applyAlignment="1">
      <alignment/>
    </xf>
    <xf numFmtId="0" fontId="27" fillId="0" borderId="12" xfId="0" applyFont="1" applyBorder="1" applyAlignment="1">
      <alignment horizontal="center"/>
    </xf>
    <xf numFmtId="37" fontId="22" fillId="0" borderId="13" xfId="0" applyNumberFormat="1" applyFont="1" applyBorder="1" applyAlignment="1">
      <alignment horizontal="center"/>
    </xf>
    <xf numFmtId="0" fontId="22" fillId="0" borderId="14" xfId="0" applyFont="1" applyBorder="1" applyAlignment="1">
      <alignment/>
    </xf>
    <xf numFmtId="0" fontId="22" fillId="0" borderId="10" xfId="0" applyFont="1" applyBorder="1" applyAlignment="1">
      <alignment/>
    </xf>
    <xf numFmtId="0" fontId="27" fillId="0" borderId="10" xfId="0" applyFont="1" applyBorder="1" applyAlignment="1">
      <alignment horizontal="center"/>
    </xf>
    <xf numFmtId="37" fontId="22" fillId="0" borderId="15" xfId="0" applyNumberFormat="1" applyFont="1" applyBorder="1" applyAlignment="1">
      <alignment horizontal="center"/>
    </xf>
    <xf numFmtId="0" fontId="27" fillId="0" borderId="16" xfId="0" applyFont="1" applyBorder="1" applyAlignment="1">
      <alignment/>
    </xf>
    <xf numFmtId="0" fontId="22" fillId="0" borderId="17" xfId="0" applyFont="1" applyBorder="1" applyAlignment="1">
      <alignment/>
    </xf>
    <xf numFmtId="0" fontId="28" fillId="0" borderId="17" xfId="0" applyFont="1" applyFill="1" applyBorder="1" applyAlignment="1">
      <alignment horizontal="right" wrapText="1"/>
    </xf>
    <xf numFmtId="3" fontId="28" fillId="0" borderId="17" xfId="0" applyNumberFormat="1" applyFont="1" applyFill="1" applyBorder="1" applyAlignment="1">
      <alignment horizontal="right" wrapText="1"/>
    </xf>
    <xf numFmtId="0" fontId="22" fillId="0" borderId="17" xfId="0" applyFont="1" applyFill="1" applyBorder="1" applyAlignment="1">
      <alignment/>
    </xf>
    <xf numFmtId="3" fontId="26" fillId="0" borderId="17" xfId="0" applyNumberFormat="1" applyFont="1" applyFill="1" applyBorder="1" applyAlignment="1">
      <alignment/>
    </xf>
    <xf numFmtId="0" fontId="28" fillId="0" borderId="18" xfId="0" applyFont="1" applyFill="1" applyBorder="1" applyAlignment="1">
      <alignment horizontal="right" wrapText="1"/>
    </xf>
    <xf numFmtId="0" fontId="22" fillId="0" borderId="16" xfId="0" applyFont="1" applyBorder="1" applyAlignment="1">
      <alignment/>
    </xf>
    <xf numFmtId="10" fontId="22" fillId="0" borderId="0" xfId="0" applyNumberFormat="1" applyFont="1" applyAlignment="1">
      <alignment/>
    </xf>
    <xf numFmtId="10" fontId="21" fillId="0" borderId="0" xfId="0" applyNumberFormat="1" applyFont="1" applyAlignment="1">
      <alignment/>
    </xf>
    <xf numFmtId="10" fontId="22" fillId="0" borderId="0" xfId="0" applyNumberFormat="1" applyFont="1" applyFill="1" applyBorder="1" applyAlignment="1">
      <alignment/>
    </xf>
    <xf numFmtId="10" fontId="28" fillId="0" borderId="0" xfId="0" applyNumberFormat="1" applyFont="1" applyFill="1" applyBorder="1" applyAlignment="1">
      <alignment horizontal="left"/>
    </xf>
    <xf numFmtId="39" fontId="22" fillId="0" borderId="0" xfId="0" applyNumberFormat="1" applyFont="1" applyAlignment="1">
      <alignment/>
    </xf>
    <xf numFmtId="39" fontId="21" fillId="0" borderId="0" xfId="0" applyNumberFormat="1" applyFont="1" applyAlignment="1">
      <alignment/>
    </xf>
    <xf numFmtId="0" fontId="22" fillId="0" borderId="0" xfId="0" applyFont="1" applyBorder="1" applyAlignment="1">
      <alignment/>
    </xf>
    <xf numFmtId="0" fontId="24" fillId="24" borderId="0" xfId="60" applyFont="1" applyFill="1" applyAlignment="1">
      <alignment horizontal="left"/>
      <protection/>
    </xf>
    <xf numFmtId="0" fontId="27" fillId="0" borderId="0" xfId="0" applyFont="1" applyAlignment="1">
      <alignment horizontal="left"/>
    </xf>
    <xf numFmtId="37" fontId="22" fillId="0" borderId="0" xfId="0" applyNumberFormat="1" applyFont="1" applyAlignment="1">
      <alignment horizontal="center"/>
    </xf>
    <xf numFmtId="37" fontId="22" fillId="0" borderId="0" xfId="0" applyNumberFormat="1" applyFont="1" applyAlignment="1">
      <alignment horizontal="left"/>
    </xf>
    <xf numFmtId="37" fontId="28" fillId="0" borderId="17" xfId="0" applyNumberFormat="1" applyFont="1" applyFill="1" applyBorder="1" applyAlignment="1">
      <alignment horizontal="right" wrapText="1"/>
    </xf>
    <xf numFmtId="4" fontId="21" fillId="0" borderId="0" xfId="0" applyNumberFormat="1" applyFont="1" applyAlignment="1">
      <alignment/>
    </xf>
    <xf numFmtId="4" fontId="22" fillId="0" borderId="0" xfId="0" applyNumberFormat="1" applyFont="1" applyAlignment="1">
      <alignment/>
    </xf>
    <xf numFmtId="0" fontId="23" fillId="0" borderId="0" xfId="0" applyFont="1" applyBorder="1" applyAlignment="1">
      <alignment horizontal="right"/>
    </xf>
    <xf numFmtId="0" fontId="21" fillId="0" borderId="0" xfId="0" applyFont="1" applyBorder="1" applyAlignment="1">
      <alignment horizontal="right"/>
    </xf>
    <xf numFmtId="14" fontId="22" fillId="0" borderId="0" xfId="0" applyNumberFormat="1" applyFont="1" applyBorder="1" applyAlignment="1">
      <alignment/>
    </xf>
    <xf numFmtId="37" fontId="23" fillId="0" borderId="0" xfId="0" applyNumberFormat="1" applyFont="1" applyAlignment="1">
      <alignment horizontal="right"/>
    </xf>
    <xf numFmtId="0" fontId="22" fillId="0" borderId="0" xfId="0" applyFont="1" applyAlignment="1">
      <alignment/>
    </xf>
    <xf numFmtId="0" fontId="21" fillId="0" borderId="0" xfId="0" applyFont="1" applyBorder="1" applyAlignment="1">
      <alignment/>
    </xf>
    <xf numFmtId="0" fontId="21" fillId="0" borderId="12" xfId="0" applyFont="1" applyBorder="1" applyAlignment="1">
      <alignment/>
    </xf>
    <xf numFmtId="0" fontId="21" fillId="0" borderId="10" xfId="0" applyFont="1" applyBorder="1" applyAlignment="1">
      <alignment/>
    </xf>
    <xf numFmtId="0" fontId="22" fillId="0" borderId="0" xfId="0" applyFont="1" applyFill="1" applyAlignment="1">
      <alignment horizontal="right"/>
    </xf>
    <xf numFmtId="39" fontId="22" fillId="0" borderId="0" xfId="0" applyNumberFormat="1" applyFont="1" applyFill="1" applyAlignment="1">
      <alignment/>
    </xf>
    <xf numFmtId="37" fontId="22" fillId="0" borderId="0" xfId="0" applyNumberFormat="1" applyFont="1" applyFill="1" applyAlignment="1">
      <alignment horizontal="right"/>
    </xf>
    <xf numFmtId="0" fontId="22" fillId="0" borderId="0" xfId="0" applyFont="1" applyFill="1" applyAlignment="1">
      <alignment/>
    </xf>
    <xf numFmtId="4" fontId="22" fillId="0" borderId="0" xfId="0" applyNumberFormat="1" applyFont="1" applyFill="1" applyAlignment="1">
      <alignment/>
    </xf>
    <xf numFmtId="10" fontId="22" fillId="0" borderId="0" xfId="0" applyNumberFormat="1" applyFont="1" applyFill="1" applyAlignment="1">
      <alignment/>
    </xf>
    <xf numFmtId="0" fontId="22" fillId="0" borderId="0" xfId="0" applyFont="1" applyFill="1" applyBorder="1" applyAlignment="1">
      <alignment/>
    </xf>
    <xf numFmtId="10" fontId="21" fillId="0" borderId="10" xfId="0" applyNumberFormat="1" applyFont="1" applyBorder="1" applyAlignment="1">
      <alignment horizontal="center"/>
    </xf>
    <xf numFmtId="10" fontId="21" fillId="0" borderId="0" xfId="0" applyNumberFormat="1" applyFont="1" applyBorder="1" applyAlignment="1">
      <alignment horizontal="center"/>
    </xf>
    <xf numFmtId="10" fontId="24" fillId="24" borderId="0" xfId="60" applyNumberFormat="1" applyFont="1" applyFill="1" applyAlignment="1">
      <alignment horizontal="left"/>
      <protection/>
    </xf>
    <xf numFmtId="10" fontId="22" fillId="0" borderId="0" xfId="0" applyNumberFormat="1" applyFont="1" applyBorder="1" applyAlignment="1">
      <alignment/>
    </xf>
    <xf numFmtId="10" fontId="21" fillId="0" borderId="0" xfId="0" applyNumberFormat="1" applyFont="1" applyBorder="1" applyAlignment="1">
      <alignment/>
    </xf>
    <xf numFmtId="10" fontId="22" fillId="0" borderId="0" xfId="0" applyNumberFormat="1" applyFont="1" applyAlignment="1">
      <alignment/>
    </xf>
    <xf numFmtId="10" fontId="21" fillId="0" borderId="0" xfId="64" applyNumberFormat="1" applyFont="1" applyBorder="1" applyAlignment="1">
      <alignment/>
    </xf>
    <xf numFmtId="10" fontId="22" fillId="0" borderId="0" xfId="64" applyNumberFormat="1" applyFont="1" applyBorder="1" applyAlignment="1">
      <alignment/>
    </xf>
    <xf numFmtId="10" fontId="22" fillId="0" borderId="0" xfId="0" applyNumberFormat="1" applyFont="1" applyBorder="1" applyAlignment="1">
      <alignment horizontal="left"/>
    </xf>
    <xf numFmtId="10" fontId="21" fillId="0" borderId="0" xfId="0" applyNumberFormat="1" applyFont="1" applyAlignment="1">
      <alignment horizontal="right"/>
    </xf>
    <xf numFmtId="10" fontId="23" fillId="0" borderId="0" xfId="0" applyNumberFormat="1" applyFont="1" applyBorder="1" applyAlignment="1">
      <alignment horizontal="right"/>
    </xf>
    <xf numFmtId="44" fontId="22" fillId="0" borderId="0" xfId="45" applyFont="1" applyBorder="1" applyAlignment="1">
      <alignment/>
    </xf>
    <xf numFmtId="44" fontId="22" fillId="0" borderId="0" xfId="45" applyFont="1" applyBorder="1" applyAlignment="1">
      <alignment horizontal="left"/>
    </xf>
    <xf numFmtId="44" fontId="21" fillId="0" borderId="0" xfId="45" applyFont="1" applyBorder="1" applyAlignment="1">
      <alignment/>
    </xf>
    <xf numFmtId="44" fontId="22" fillId="0" borderId="0" xfId="45" applyFont="1" applyAlignment="1">
      <alignment horizontal="left"/>
    </xf>
    <xf numFmtId="44" fontId="27" fillId="0" borderId="0" xfId="45" applyFont="1" applyAlignment="1">
      <alignment horizontal="left"/>
    </xf>
    <xf numFmtId="44" fontId="22" fillId="0" borderId="0" xfId="45" applyFont="1" applyAlignment="1">
      <alignment horizontal="center"/>
    </xf>
    <xf numFmtId="44" fontId="22" fillId="0" borderId="0" xfId="45" applyFont="1" applyAlignment="1">
      <alignment/>
    </xf>
    <xf numFmtId="44" fontId="22" fillId="0" borderId="12" xfId="45" applyFont="1" applyBorder="1" applyAlignment="1">
      <alignment/>
    </xf>
    <xf numFmtId="44" fontId="22" fillId="0" borderId="10" xfId="45" applyFont="1" applyBorder="1" applyAlignment="1">
      <alignment/>
    </xf>
    <xf numFmtId="44" fontId="22" fillId="0" borderId="17" xfId="45" applyFont="1" applyBorder="1" applyAlignment="1">
      <alignment/>
    </xf>
    <xf numFmtId="10" fontId="22" fillId="0" borderId="0" xfId="64" applyNumberFormat="1" applyFont="1" applyAlignment="1">
      <alignment/>
    </xf>
    <xf numFmtId="10" fontId="21" fillId="0" borderId="0" xfId="64" applyNumberFormat="1" applyFont="1" applyAlignment="1">
      <alignment/>
    </xf>
    <xf numFmtId="10" fontId="22" fillId="0" borderId="0" xfId="64" applyNumberFormat="1" applyFont="1" applyFill="1" applyAlignment="1">
      <alignment/>
    </xf>
    <xf numFmtId="0" fontId="21" fillId="0" borderId="0" xfId="0" applyFont="1" applyFill="1" applyBorder="1" applyAlignment="1">
      <alignment/>
    </xf>
    <xf numFmtId="10" fontId="21" fillId="0" borderId="0" xfId="0" applyNumberFormat="1" applyFont="1" applyFill="1" applyBorder="1" applyAlignment="1">
      <alignment/>
    </xf>
    <xf numFmtId="10" fontId="22" fillId="0" borderId="0" xfId="0" applyNumberFormat="1" applyFont="1" applyFill="1" applyBorder="1" applyAlignment="1">
      <alignment/>
    </xf>
    <xf numFmtId="10" fontId="21" fillId="0" borderId="0" xfId="64" applyNumberFormat="1" applyFont="1" applyFill="1" applyBorder="1" applyAlignment="1">
      <alignment/>
    </xf>
    <xf numFmtId="10" fontId="22" fillId="0" borderId="0" xfId="64" applyNumberFormat="1" applyFont="1" applyFill="1" applyBorder="1" applyAlignment="1">
      <alignment/>
    </xf>
    <xf numFmtId="44" fontId="21" fillId="0" borderId="0" xfId="45" applyFont="1" applyFill="1" applyBorder="1" applyAlignment="1">
      <alignment/>
    </xf>
    <xf numFmtId="44" fontId="22" fillId="0" borderId="0" xfId="45" applyFont="1" applyFill="1" applyBorder="1" applyAlignment="1">
      <alignment/>
    </xf>
    <xf numFmtId="0" fontId="22" fillId="0" borderId="0" xfId="0" applyFont="1" applyFill="1" applyBorder="1" applyAlignment="1">
      <alignment horizontal="left"/>
    </xf>
    <xf numFmtId="44" fontId="22" fillId="0" borderId="0" xfId="45" applyFont="1" applyFill="1" applyBorder="1" applyAlignment="1">
      <alignment horizontal="left"/>
    </xf>
    <xf numFmtId="43" fontId="22" fillId="0" borderId="0" xfId="42" applyFont="1" applyAlignment="1">
      <alignment/>
    </xf>
    <xf numFmtId="2" fontId="22" fillId="0" borderId="0" xfId="0" applyNumberFormat="1" applyFont="1" applyFill="1" applyAlignment="1">
      <alignment/>
    </xf>
    <xf numFmtId="175" fontId="21" fillId="0" borderId="0" xfId="64" applyNumberFormat="1" applyFont="1" applyFill="1" applyBorder="1" applyAlignment="1">
      <alignment/>
    </xf>
    <xf numFmtId="43" fontId="22" fillId="0" borderId="0" xfId="0" applyNumberFormat="1" applyFont="1" applyAlignment="1">
      <alignment/>
    </xf>
    <xf numFmtId="185" fontId="22" fillId="0" borderId="0" xfId="45" applyNumberFormat="1" applyFont="1" applyAlignment="1">
      <alignment horizontal="right"/>
    </xf>
    <xf numFmtId="185" fontId="22" fillId="0" borderId="0" xfId="45" applyNumberFormat="1" applyFont="1" applyFill="1" applyAlignment="1">
      <alignment horizontal="right"/>
    </xf>
    <xf numFmtId="39" fontId="22" fillId="25" borderId="0" xfId="0" applyNumberFormat="1" applyFont="1" applyFill="1" applyAlignment="1">
      <alignment/>
    </xf>
    <xf numFmtId="10" fontId="22" fillId="0" borderId="0" xfId="64" applyNumberFormat="1" applyFont="1" applyAlignment="1">
      <alignment horizontal="right"/>
    </xf>
    <xf numFmtId="10" fontId="22" fillId="0" borderId="0" xfId="64" applyNumberFormat="1" applyFont="1" applyFill="1" applyAlignment="1">
      <alignment horizontal="right"/>
    </xf>
    <xf numFmtId="37" fontId="32" fillId="0" borderId="0" xfId="0" applyNumberFormat="1" applyFont="1" applyAlignment="1">
      <alignment horizontal="right"/>
    </xf>
    <xf numFmtId="14" fontId="22" fillId="0" borderId="0" xfId="45" applyNumberFormat="1" applyFont="1" applyFill="1" applyAlignment="1">
      <alignment horizontal="right"/>
    </xf>
    <xf numFmtId="0" fontId="27" fillId="0" borderId="0" xfId="0" applyFont="1" applyFill="1" applyAlignment="1">
      <alignment horizontal="left"/>
    </xf>
    <xf numFmtId="10" fontId="27" fillId="0" borderId="0" xfId="0" applyNumberFormat="1" applyFont="1" applyFill="1" applyAlignment="1">
      <alignment horizontal="left"/>
    </xf>
    <xf numFmtId="10" fontId="22" fillId="0" borderId="0" xfId="65" applyNumberFormat="1" applyFont="1" applyFill="1" applyBorder="1" applyAlignment="1">
      <alignment/>
    </xf>
    <xf numFmtId="0" fontId="22" fillId="0" borderId="0" xfId="0" applyFont="1" applyFill="1" applyAlignment="1">
      <alignment horizontal="left"/>
    </xf>
    <xf numFmtId="10" fontId="22" fillId="0" borderId="0" xfId="0" applyNumberFormat="1" applyFont="1" applyFill="1" applyAlignment="1">
      <alignment horizontal="left"/>
    </xf>
    <xf numFmtId="10" fontId="22" fillId="0" borderId="0" xfId="65" applyNumberFormat="1" applyFont="1" applyFill="1" applyAlignment="1">
      <alignment/>
    </xf>
    <xf numFmtId="44" fontId="22" fillId="0" borderId="0" xfId="0" applyNumberFormat="1" applyFont="1" applyFill="1" applyAlignment="1">
      <alignment/>
    </xf>
    <xf numFmtId="4" fontId="29" fillId="0" borderId="0" xfId="44" applyNumberFormat="1" applyFont="1" applyFill="1" applyBorder="1" applyAlignment="1">
      <alignment horizontal="right"/>
    </xf>
    <xf numFmtId="4" fontId="30" fillId="25" borderId="10" xfId="0" applyNumberFormat="1" applyFont="1" applyFill="1" applyBorder="1" applyAlignment="1">
      <alignment horizontal="right" vertical="center" wrapText="1"/>
    </xf>
    <xf numFmtId="4" fontId="33" fillId="25" borderId="10" xfId="0" applyNumberFormat="1" applyFont="1" applyFill="1" applyBorder="1" applyAlignment="1">
      <alignment/>
    </xf>
    <xf numFmtId="43" fontId="22" fillId="0" borderId="0" xfId="0" applyNumberFormat="1" applyFont="1" applyFill="1" applyAlignment="1">
      <alignment/>
    </xf>
    <xf numFmtId="37" fontId="32" fillId="0" borderId="0" xfId="0" applyNumberFormat="1" applyFont="1" applyFill="1" applyAlignment="1">
      <alignment horizontal="right"/>
    </xf>
    <xf numFmtId="0" fontId="21" fillId="0" borderId="0" xfId="0" applyFont="1" applyAlignment="1">
      <alignment horizontal="center"/>
    </xf>
    <xf numFmtId="37" fontId="21" fillId="0" borderId="0" xfId="0" applyNumberFormat="1" applyFont="1" applyAlignment="1">
      <alignment horizontal="center"/>
    </xf>
    <xf numFmtId="0" fontId="23" fillId="0" borderId="0" xfId="0" applyFont="1" applyAlignment="1">
      <alignment horizontal="center"/>
    </xf>
    <xf numFmtId="0" fontId="22" fillId="0" borderId="0" xfId="0" applyFont="1" applyFill="1" applyAlignment="1">
      <alignment horizontal="justify"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Sheet1"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XF\Desktop\Unrealized%20Gain-Loss%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realized Gain-Loss (1)"/>
    </sheetNames>
    <sheetDataSet>
      <sheetData sheetId="0">
        <row r="143">
          <cell r="L143">
            <v>163368761.23000005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27"/>
  <sheetViews>
    <sheetView tabSelected="1" zoomScale="130" zoomScaleNormal="130" zoomScaleSheetLayoutView="100" zoomScalePageLayoutView="0" workbookViewId="0" topLeftCell="A1">
      <selection activeCell="D281" sqref="D281:D283"/>
    </sheetView>
  </sheetViews>
  <sheetFormatPr defaultColWidth="9.140625" defaultRowHeight="12.75"/>
  <cols>
    <col min="1" max="1" width="35.7109375" style="1" customWidth="1"/>
    <col min="2" max="2" width="9.140625" style="1" customWidth="1"/>
    <col min="3" max="3" width="40.00390625" style="1" customWidth="1"/>
    <col min="4" max="4" width="17.421875" style="27" customWidth="1"/>
    <col min="5" max="5" width="13.140625" style="1" customWidth="1"/>
    <col min="6" max="6" width="20.421875" style="8" customWidth="1"/>
    <col min="7" max="7" width="3.57421875" style="8" customWidth="1"/>
    <col min="8" max="8" width="16.57421875" style="8" customWidth="1"/>
    <col min="9" max="9" width="9.140625" style="27" hidden="1" customWidth="1"/>
    <col min="10" max="11" width="13.57421875" style="31" hidden="1" customWidth="1"/>
    <col min="12" max="12" width="14.7109375" style="31" hidden="1" customWidth="1"/>
    <col min="13" max="13" width="13.421875" style="27" hidden="1" customWidth="1"/>
    <col min="14" max="14" width="15.421875" style="27" hidden="1" customWidth="1"/>
    <col min="15" max="15" width="18.7109375" style="40" hidden="1" customWidth="1"/>
    <col min="16" max="16" width="13.57421875" style="40" hidden="1" customWidth="1"/>
    <col min="17" max="17" width="12.28125" style="1" hidden="1" customWidth="1"/>
    <col min="18" max="18" width="14.28125" style="1" hidden="1" customWidth="1"/>
    <col min="19" max="19" width="9.57421875" style="77" bestFit="1" customWidth="1"/>
    <col min="20" max="16384" width="9.140625" style="1" customWidth="1"/>
  </cols>
  <sheetData>
    <row r="1" spans="1:8" ht="12.75">
      <c r="A1" s="112" t="s">
        <v>0</v>
      </c>
      <c r="B1" s="112"/>
      <c r="C1" s="112"/>
      <c r="D1" s="112"/>
      <c r="E1" s="112"/>
      <c r="F1" s="112"/>
      <c r="G1" s="112"/>
      <c r="H1" s="112"/>
    </row>
    <row r="2" spans="1:8" ht="12.75">
      <c r="A2" s="113" t="s">
        <v>177</v>
      </c>
      <c r="B2" s="113"/>
      <c r="C2" s="113"/>
      <c r="D2" s="113"/>
      <c r="E2" s="113"/>
      <c r="F2" s="113"/>
      <c r="G2" s="113"/>
      <c r="H2" s="113"/>
    </row>
    <row r="3" spans="1:8" ht="12.75">
      <c r="A3" s="114" t="s">
        <v>53</v>
      </c>
      <c r="B3" s="114"/>
      <c r="C3" s="114"/>
      <c r="D3" s="114"/>
      <c r="E3" s="114"/>
      <c r="F3" s="114"/>
      <c r="G3" s="114"/>
      <c r="H3" s="114"/>
    </row>
    <row r="5" spans="4:19" s="2" customFormat="1" ht="12.75">
      <c r="D5" s="28"/>
      <c r="F5" s="6" t="s">
        <v>2</v>
      </c>
      <c r="G5" s="6"/>
      <c r="H5" s="6"/>
      <c r="I5" s="28"/>
      <c r="J5" s="32"/>
      <c r="K5" s="32"/>
      <c r="L5" s="32"/>
      <c r="M5" s="28"/>
      <c r="N5" s="28"/>
      <c r="O5" s="39"/>
      <c r="P5" s="39"/>
      <c r="S5" s="78"/>
    </row>
    <row r="6" spans="1:8" ht="12.75">
      <c r="A6" s="48" t="s">
        <v>4</v>
      </c>
      <c r="B6" s="48"/>
      <c r="C6" s="48"/>
      <c r="D6" s="56"/>
      <c r="E6" s="3"/>
      <c r="F6" s="7" t="s">
        <v>3</v>
      </c>
      <c r="G6" s="7"/>
      <c r="H6" s="7" t="s">
        <v>1</v>
      </c>
    </row>
    <row r="7" spans="1:5" ht="12.75">
      <c r="A7" s="47"/>
      <c r="B7" s="47"/>
      <c r="C7" s="47"/>
      <c r="D7" s="57"/>
      <c r="E7" s="9"/>
    </row>
    <row r="8" spans="1:9" ht="12.75">
      <c r="A8" s="34" t="str">
        <f>"Common Stocks - "&amp;TEXT((H131)/$H$295,"##0.00%")</f>
        <v>Common Stocks - 6.59%</v>
      </c>
      <c r="B8" s="34"/>
      <c r="C8" s="34"/>
      <c r="D8" s="58"/>
      <c r="E8" s="34"/>
      <c r="F8" s="34"/>
      <c r="G8" s="34"/>
      <c r="H8" s="34"/>
      <c r="I8" s="27">
        <f>H131/$H$295</f>
        <v>0.06586402374773102</v>
      </c>
    </row>
    <row r="9" spans="1:5" ht="12.75">
      <c r="A9" s="33"/>
      <c r="B9" s="33"/>
      <c r="C9" s="33"/>
      <c r="D9" s="59"/>
      <c r="E9" s="33"/>
    </row>
    <row r="10" spans="1:5" ht="12.75">
      <c r="A10" s="46" t="str">
        <f>"Arrangement of Transportation of Freight &amp; Cargo - "&amp;TEXT((H14)/$H$295,"##0.00%")</f>
        <v>Arrangement of Transportation of Freight &amp; Cargo - 0.24%</v>
      </c>
      <c r="B10" s="46"/>
      <c r="C10" s="46"/>
      <c r="D10" s="60"/>
      <c r="E10" s="46"/>
    </row>
    <row r="11" spans="1:8" ht="12.75">
      <c r="A11" s="55" t="s">
        <v>114</v>
      </c>
      <c r="B11" s="33"/>
      <c r="C11" s="33"/>
      <c r="D11" s="59"/>
      <c r="E11" s="33"/>
      <c r="F11" s="8">
        <v>2496</v>
      </c>
      <c r="H11" s="8">
        <v>190045</v>
      </c>
    </row>
    <row r="12" spans="1:8" ht="12.75">
      <c r="A12" s="55" t="s">
        <v>104</v>
      </c>
      <c r="B12" s="33"/>
      <c r="C12" s="33"/>
      <c r="D12" s="59"/>
      <c r="E12" s="33"/>
      <c r="F12" s="8">
        <v>3601</v>
      </c>
      <c r="H12" s="8">
        <v>437774</v>
      </c>
    </row>
    <row r="13" spans="1:5" ht="12.75">
      <c r="A13" s="55"/>
      <c r="B13" s="33"/>
      <c r="C13" s="33"/>
      <c r="D13" s="59"/>
      <c r="E13" s="33"/>
    </row>
    <row r="14" spans="1:9" ht="12.75">
      <c r="A14" s="55"/>
      <c r="B14" s="33"/>
      <c r="C14" s="33"/>
      <c r="D14" s="59"/>
      <c r="E14" s="33"/>
      <c r="H14" s="8">
        <f>SUM(H11:H13)</f>
        <v>627819</v>
      </c>
      <c r="I14" s="27">
        <f>H14/$H$295</f>
        <v>0.0024104337890042526</v>
      </c>
    </row>
    <row r="15" spans="1:5" ht="12.75">
      <c r="A15" s="55"/>
      <c r="B15" s="33"/>
      <c r="C15" s="33"/>
      <c r="D15" s="59"/>
      <c r="E15" s="33"/>
    </row>
    <row r="16" spans="1:5" ht="12.75">
      <c r="A16" s="80" t="str">
        <f>"Beverages - "&amp;TEXT((H20)/$H$295,"##0.00%")</f>
        <v>Beverages - 0.30%</v>
      </c>
      <c r="B16" s="46"/>
      <c r="C16" s="46"/>
      <c r="D16" s="60"/>
      <c r="E16" s="46"/>
    </row>
    <row r="17" spans="1:8" ht="12.75">
      <c r="A17" s="55" t="s">
        <v>75</v>
      </c>
      <c r="B17" s="33"/>
      <c r="C17" s="33"/>
      <c r="D17" s="59"/>
      <c r="E17" s="33"/>
      <c r="F17" s="8">
        <v>6174</v>
      </c>
      <c r="H17" s="8">
        <v>377725</v>
      </c>
    </row>
    <row r="18" spans="1:8" ht="12.75">
      <c r="A18" s="55" t="s">
        <v>82</v>
      </c>
      <c r="B18" s="33"/>
      <c r="C18" s="33"/>
      <c r="D18" s="59"/>
      <c r="E18" s="33"/>
      <c r="F18" s="8">
        <v>2305</v>
      </c>
      <c r="H18" s="8">
        <v>403398</v>
      </c>
    </row>
    <row r="19" spans="1:5" ht="12.75">
      <c r="A19" s="55"/>
      <c r="B19" s="33"/>
      <c r="C19" s="33"/>
      <c r="D19" s="59"/>
      <c r="E19" s="33"/>
    </row>
    <row r="20" spans="1:9" ht="12.75">
      <c r="A20" s="55"/>
      <c r="B20" s="33"/>
      <c r="C20" s="33"/>
      <c r="D20" s="59"/>
      <c r="E20" s="33"/>
      <c r="H20" s="8">
        <f>SUM(H17:H19)</f>
        <v>781123</v>
      </c>
      <c r="I20" s="27">
        <f>H20/$H$295</f>
        <v>0.0029990256309037617</v>
      </c>
    </row>
    <row r="21" spans="1:5" ht="12.75">
      <c r="A21" s="55"/>
      <c r="B21" s="33"/>
      <c r="C21" s="33"/>
      <c r="D21" s="59"/>
      <c r="E21" s="33"/>
    </row>
    <row r="22" spans="1:5" ht="12.75">
      <c r="A22" s="80" t="str">
        <f>"Construction, Mining &amp; Materials Handling Machinery &amp; Equipment - "&amp;TEXT((H23)/$H$295,"##0.00%")</f>
        <v>Construction, Mining &amp; Materials Handling Machinery &amp; Equipment - 0.18%</v>
      </c>
      <c r="B22" s="46"/>
      <c r="C22" s="46"/>
      <c r="D22" s="60"/>
      <c r="E22" s="46"/>
    </row>
    <row r="23" spans="1:9" ht="12.75">
      <c r="A23" s="55" t="s">
        <v>28</v>
      </c>
      <c r="B23" s="33"/>
      <c r="C23" s="33"/>
      <c r="D23" s="59"/>
      <c r="E23" s="33"/>
      <c r="F23" s="8">
        <v>2586</v>
      </c>
      <c r="H23" s="8">
        <v>458213</v>
      </c>
      <c r="I23" s="27">
        <f>H23/$H$295</f>
        <v>0.0017592524242831223</v>
      </c>
    </row>
    <row r="24" spans="1:5" ht="12.75">
      <c r="A24" s="55"/>
      <c r="B24" s="33"/>
      <c r="C24" s="33"/>
      <c r="D24" s="59"/>
      <c r="E24" s="33"/>
    </row>
    <row r="25" spans="1:5" ht="12.75">
      <c r="A25" s="80" t="str">
        <f>"Converted Paper &amp; Paperboard Prods (No Containers/Boxes) - "&amp;TEXT((H26)/$H$295,"##0.00%")</f>
        <v>Converted Paper &amp; Paperboard Prods (No Containers/Boxes) - 0.14%</v>
      </c>
      <c r="B25" s="46"/>
      <c r="C25" s="46"/>
      <c r="D25" s="60"/>
      <c r="E25" s="46"/>
    </row>
    <row r="26" spans="1:9" ht="12.75">
      <c r="A26" s="55" t="s">
        <v>79</v>
      </c>
      <c r="B26" s="33"/>
      <c r="C26" s="33"/>
      <c r="D26" s="59"/>
      <c r="E26" s="33"/>
      <c r="F26" s="8">
        <v>2762</v>
      </c>
      <c r="H26" s="8">
        <v>357265</v>
      </c>
      <c r="I26" s="27">
        <f>H26/$H$295</f>
        <v>0.0013716750012799936</v>
      </c>
    </row>
    <row r="27" spans="1:5" ht="12.75">
      <c r="A27" s="55"/>
      <c r="B27" s="33"/>
      <c r="C27" s="33"/>
      <c r="D27" s="59"/>
      <c r="E27" s="33"/>
    </row>
    <row r="28" spans="1:5" ht="12.75">
      <c r="A28" s="80" t="str">
        <f>"Diversified Financials - "&amp;TEXT((H29)/$H$295,"##0.00%")</f>
        <v>Diversified Financials - 0.12%</v>
      </c>
      <c r="B28" s="46"/>
      <c r="C28" s="46"/>
      <c r="D28" s="60"/>
      <c r="E28" s="46"/>
    </row>
    <row r="29" spans="1:9" ht="12.75">
      <c r="A29" s="55" t="s">
        <v>128</v>
      </c>
      <c r="B29" s="33"/>
      <c r="C29" s="33"/>
      <c r="D29" s="59"/>
      <c r="E29" s="33"/>
      <c r="F29" s="8">
        <v>723</v>
      </c>
      <c r="H29" s="8">
        <v>307600</v>
      </c>
      <c r="I29" s="27">
        <f>H29/$H$295</f>
        <v>0.0011809923457201965</v>
      </c>
    </row>
    <row r="30" spans="1:5" ht="12.75">
      <c r="A30" s="55"/>
      <c r="B30" s="33"/>
      <c r="C30" s="33"/>
      <c r="D30" s="59"/>
      <c r="E30" s="33"/>
    </row>
    <row r="31" spans="1:5" ht="12.75">
      <c r="A31" s="80" t="str">
        <f>"Electromedical &amp; Electrotherapeutic Apparatus - "&amp;TEXT((H32)/$H$295,"##0.00%")</f>
        <v>Electromedical &amp; Electrotherapeutic Apparatus - 0.14%</v>
      </c>
      <c r="B31" s="46"/>
      <c r="C31" s="46"/>
      <c r="D31" s="60"/>
      <c r="E31" s="46"/>
    </row>
    <row r="32" spans="1:9" ht="12.75">
      <c r="A32" s="55" t="s">
        <v>40</v>
      </c>
      <c r="B32" s="33"/>
      <c r="C32" s="33"/>
      <c r="D32" s="59"/>
      <c r="E32" s="33"/>
      <c r="F32" s="8">
        <v>4177</v>
      </c>
      <c r="H32" s="8">
        <v>364026</v>
      </c>
      <c r="I32" s="27">
        <f>H32/$H$295</f>
        <v>0.0013976330287488305</v>
      </c>
    </row>
    <row r="33" spans="1:5" ht="12.75">
      <c r="A33" s="55"/>
      <c r="B33" s="33"/>
      <c r="C33" s="33"/>
      <c r="D33" s="59"/>
      <c r="E33" s="33"/>
    </row>
    <row r="34" spans="1:5" ht="12.75">
      <c r="A34" s="80" t="str">
        <f>"Electronic &amp; Other Electrical Equipment - "&amp;TEXT((H35)/$H$295,"##0.00%")</f>
        <v>Electronic &amp; Other Electrical Equipment - 0.19%</v>
      </c>
      <c r="B34" s="46"/>
      <c r="C34" s="46"/>
      <c r="D34" s="60"/>
      <c r="E34" s="46"/>
    </row>
    <row r="35" spans="1:9" ht="12.75">
      <c r="A35" s="55" t="s">
        <v>29</v>
      </c>
      <c r="B35" s="33"/>
      <c r="C35" s="33"/>
      <c r="D35" s="59"/>
      <c r="E35" s="33"/>
      <c r="F35" s="8">
        <v>4327</v>
      </c>
      <c r="H35" s="8">
        <v>490768</v>
      </c>
      <c r="I35" s="27">
        <f>H35/$H$295</f>
        <v>0.0018842433404564676</v>
      </c>
    </row>
    <row r="36" spans="1:5" ht="12.75">
      <c r="A36" s="55"/>
      <c r="B36" s="33"/>
      <c r="C36" s="33"/>
      <c r="D36" s="59"/>
      <c r="E36" s="33"/>
    </row>
    <row r="37" spans="1:5" ht="12.75">
      <c r="A37" s="80" t="str">
        <f>"General Industrial Machinery &amp; Equipment - "&amp;TEXT((H41)/$H$295,"##0.00%")</f>
        <v>General Industrial Machinery &amp; Equipment - 0.30%</v>
      </c>
      <c r="B37" s="46"/>
      <c r="C37" s="46"/>
      <c r="D37" s="60"/>
      <c r="E37" s="46"/>
    </row>
    <row r="38" spans="1:9" ht="12.75">
      <c r="A38" s="1" t="s">
        <v>30</v>
      </c>
      <c r="D38" s="1"/>
      <c r="F38" s="8">
        <v>1773</v>
      </c>
      <c r="H38" s="8">
        <v>475749</v>
      </c>
      <c r="I38" s="1"/>
    </row>
    <row r="39" spans="1:9" ht="12.75">
      <c r="A39" s="55" t="s">
        <v>113</v>
      </c>
      <c r="B39" s="33"/>
      <c r="C39" s="33"/>
      <c r="D39" s="59"/>
      <c r="E39" s="33"/>
      <c r="F39" s="8">
        <v>1121</v>
      </c>
      <c r="H39" s="8">
        <v>307759</v>
      </c>
      <c r="I39" s="1"/>
    </row>
    <row r="40" spans="1:8" ht="12.75">
      <c r="A40" s="55"/>
      <c r="B40" s="33"/>
      <c r="C40" s="33"/>
      <c r="D40" s="59"/>
      <c r="E40" s="33"/>
      <c r="H40" s="1"/>
    </row>
    <row r="41" spans="1:9" ht="12.75">
      <c r="A41" s="55"/>
      <c r="B41" s="33"/>
      <c r="C41" s="33"/>
      <c r="D41" s="59"/>
      <c r="E41" s="33"/>
      <c r="H41" s="8">
        <f>SUM(H38:H39)</f>
        <v>783508</v>
      </c>
      <c r="I41" s="27">
        <f>H41/$H$295</f>
        <v>0.0030081825448977236</v>
      </c>
    </row>
    <row r="42" spans="1:5" ht="12.75">
      <c r="A42" s="55"/>
      <c r="B42" s="33"/>
      <c r="C42" s="33"/>
      <c r="D42" s="59"/>
      <c r="E42" s="33"/>
    </row>
    <row r="43" spans="1:5" ht="12.75">
      <c r="A43" s="80" t="str">
        <f>"Household Appliances - "&amp;TEXT((H44)/$H$295,"##0.00%")</f>
        <v>Household Appliances - 0.22%</v>
      </c>
      <c r="B43" s="46"/>
      <c r="C43" s="46"/>
      <c r="D43" s="60"/>
      <c r="E43" s="46"/>
    </row>
    <row r="44" spans="1:9" ht="12.75">
      <c r="A44" s="55" t="s">
        <v>100</v>
      </c>
      <c r="B44" s="33"/>
      <c r="C44" s="33"/>
      <c r="D44" s="59"/>
      <c r="E44" s="33"/>
      <c r="F44" s="8">
        <v>6410</v>
      </c>
      <c r="H44" s="8">
        <v>573439</v>
      </c>
      <c r="I44" s="27">
        <f>H44/$H$295</f>
        <v>0.0022016484711880487</v>
      </c>
    </row>
    <row r="45" spans="1:5" ht="12.75">
      <c r="A45" s="55"/>
      <c r="B45" s="33"/>
      <c r="C45" s="33"/>
      <c r="D45" s="59"/>
      <c r="E45" s="33"/>
    </row>
    <row r="46" spans="1:5" ht="12.75">
      <c r="A46" s="80" t="str">
        <f>"Household Products - "&amp;TEXT((H47)/$H$295,"##0.00%")</f>
        <v>Household Products - 0.19%</v>
      </c>
      <c r="B46" s="33"/>
      <c r="C46" s="33"/>
      <c r="D46" s="59"/>
      <c r="E46" s="33"/>
    </row>
    <row r="47" spans="1:9" ht="12.75">
      <c r="A47" s="55" t="s">
        <v>116</v>
      </c>
      <c r="B47" s="33"/>
      <c r="C47" s="33"/>
      <c r="D47" s="59"/>
      <c r="E47" s="33"/>
      <c r="F47" s="8">
        <v>4772</v>
      </c>
      <c r="H47" s="8">
        <v>497767</v>
      </c>
      <c r="I47" s="27">
        <f>H47/$H$295</f>
        <v>0.0019111151396362324</v>
      </c>
    </row>
    <row r="48" spans="1:5" ht="12.75">
      <c r="A48" s="55"/>
      <c r="B48" s="33"/>
      <c r="C48" s="33"/>
      <c r="D48" s="59"/>
      <c r="E48" s="33"/>
    </row>
    <row r="49" spans="1:5" ht="12.75">
      <c r="A49" s="80" t="str">
        <f>"Industrial Inorganic Chemicals - "&amp;TEXT((H53)/$H$295,"##0.00%")</f>
        <v>Industrial Inorganic Chemicals - 0.36%</v>
      </c>
      <c r="B49" s="46"/>
      <c r="C49" s="46"/>
      <c r="D49" s="60"/>
      <c r="E49" s="46"/>
    </row>
    <row r="50" spans="1:8" ht="12.75">
      <c r="A50" s="55" t="s">
        <v>31</v>
      </c>
      <c r="B50" s="33"/>
      <c r="C50" s="33"/>
      <c r="D50" s="59"/>
      <c r="E50" s="33"/>
      <c r="F50" s="8">
        <v>1502</v>
      </c>
      <c r="H50" s="8">
        <v>363890</v>
      </c>
    </row>
    <row r="51" spans="1:8" ht="12.75">
      <c r="A51" s="55" t="s">
        <v>39</v>
      </c>
      <c r="B51" s="33"/>
      <c r="C51" s="33"/>
      <c r="D51" s="59"/>
      <c r="E51" s="33"/>
      <c r="F51" s="8">
        <v>1213</v>
      </c>
      <c r="H51" s="8">
        <v>563220</v>
      </c>
    </row>
    <row r="52" spans="1:5" ht="12.75">
      <c r="A52" s="55"/>
      <c r="B52" s="33"/>
      <c r="C52" s="33"/>
      <c r="D52" s="59"/>
      <c r="E52" s="33"/>
    </row>
    <row r="53" spans="1:9" ht="12.75">
      <c r="A53" s="55"/>
      <c r="B53" s="33"/>
      <c r="C53" s="33"/>
      <c r="D53" s="59"/>
      <c r="E53" s="33"/>
      <c r="H53" s="8">
        <f>SUM(H50:H52)</f>
        <v>927110</v>
      </c>
      <c r="I53" s="27">
        <f>H53/$H$295</f>
        <v>0.003559524751757644</v>
      </c>
    </row>
    <row r="54" spans="1:5" ht="12.75">
      <c r="A54" s="55"/>
      <c r="B54" s="33"/>
      <c r="C54" s="33"/>
      <c r="D54" s="59"/>
      <c r="E54" s="33"/>
    </row>
    <row r="55" spans="1:5" ht="12.75">
      <c r="A55" s="80" t="str">
        <f>"Industrial Instruments For Measurement, Display &amp; Control - "&amp;TEXT((H56)/$H$295,"##0.00%")</f>
        <v>Industrial Instruments For Measurement, Display &amp; Control - 0.19%</v>
      </c>
      <c r="B55" s="46"/>
      <c r="C55" s="46"/>
      <c r="D55" s="60"/>
      <c r="E55" s="46"/>
    </row>
    <row r="56" spans="1:9" ht="12.75">
      <c r="A56" s="55" t="s">
        <v>96</v>
      </c>
      <c r="B56" s="33"/>
      <c r="C56" s="33"/>
      <c r="D56" s="59"/>
      <c r="E56" s="33"/>
      <c r="F56" s="8">
        <v>892</v>
      </c>
      <c r="H56" s="8">
        <v>500269</v>
      </c>
      <c r="I56" s="27">
        <f>H56/$H$295</f>
        <v>0.0019207212607317847</v>
      </c>
    </row>
    <row r="57" spans="1:5" ht="12.75">
      <c r="A57" s="55"/>
      <c r="B57" s="33"/>
      <c r="C57" s="33"/>
      <c r="D57" s="59"/>
      <c r="E57" s="33"/>
    </row>
    <row r="58" spans="1:5" ht="12.75">
      <c r="A58" s="80" t="str">
        <f>"Men's &amp; Boy's Furnishings, Work Clothing, and Allied Garments - "&amp;TEXT((H59)/$H$295,"##0.00%")</f>
        <v>Men's &amp; Boy's Furnishings, Work Clothing, and Allied Garments - 0.22%</v>
      </c>
      <c r="B58" s="46"/>
      <c r="C58" s="46"/>
      <c r="D58" s="60"/>
      <c r="E58" s="46"/>
    </row>
    <row r="59" spans="1:9" ht="12.75">
      <c r="A59" s="55" t="s">
        <v>32</v>
      </c>
      <c r="B59" s="33"/>
      <c r="C59" s="33"/>
      <c r="D59" s="59"/>
      <c r="E59" s="33"/>
      <c r="F59" s="8">
        <v>836</v>
      </c>
      <c r="H59" s="8">
        <v>574357</v>
      </c>
      <c r="I59" s="27">
        <f>H59/$H$295</f>
        <v>0.002205173019215913</v>
      </c>
    </row>
    <row r="60" spans="1:5" ht="12.75">
      <c r="A60" s="55"/>
      <c r="B60" s="33"/>
      <c r="C60" s="33"/>
      <c r="D60" s="59"/>
      <c r="E60" s="33"/>
    </row>
    <row r="61" spans="1:5" ht="12.75">
      <c r="A61" s="80" t="str">
        <f>"Miscellaneous Food Preparations &amp; Kindred Products - "&amp;TEXT((H62)/$H$295,"##0.00%")</f>
        <v>Miscellaneous Food Preparations &amp; Kindred Products - 0.12%</v>
      </c>
      <c r="B61" s="46"/>
      <c r="C61" s="46"/>
      <c r="D61" s="60"/>
      <c r="E61" s="46"/>
    </row>
    <row r="62" spans="1:9" ht="12.75">
      <c r="A62" s="55" t="s">
        <v>81</v>
      </c>
      <c r="B62" s="33"/>
      <c r="C62" s="33"/>
      <c r="D62" s="59"/>
      <c r="E62" s="33"/>
      <c r="F62" s="8">
        <v>4083</v>
      </c>
      <c r="H62" s="8">
        <v>313615</v>
      </c>
      <c r="I62" s="27">
        <f>H62/$H$295</f>
        <v>0.0012040861979942764</v>
      </c>
    </row>
    <row r="63" spans="1:5" ht="12.75">
      <c r="A63" s="55"/>
      <c r="B63" s="33"/>
      <c r="C63" s="33"/>
      <c r="D63" s="59"/>
      <c r="E63" s="33"/>
    </row>
    <row r="64" spans="1:5" ht="12.75">
      <c r="A64" s="80" t="str">
        <f>"Paints, Varnishes, Lacquers, Enamels &amp; Allied Products - "&amp;TEXT((H65)/$H$295,"##0.00%")</f>
        <v>Paints, Varnishes, Lacquers, Enamels &amp; Allied Products - 0.14%</v>
      </c>
      <c r="B64" s="46"/>
      <c r="C64" s="46"/>
      <c r="D64" s="60"/>
      <c r="E64" s="46"/>
    </row>
    <row r="65" spans="1:9" ht="12.75">
      <c r="A65" s="55" t="s">
        <v>59</v>
      </c>
      <c r="B65" s="33"/>
      <c r="C65" s="33"/>
      <c r="D65" s="59"/>
      <c r="E65" s="33"/>
      <c r="F65" s="8">
        <v>2496</v>
      </c>
      <c r="H65" s="8">
        <v>361670</v>
      </c>
      <c r="I65" s="27">
        <f>H65/$H$295</f>
        <v>0.001388587456686032</v>
      </c>
    </row>
    <row r="66" spans="1:5" ht="12.75">
      <c r="A66" s="55"/>
      <c r="B66" s="33"/>
      <c r="C66" s="33"/>
      <c r="D66" s="59"/>
      <c r="E66" s="33"/>
    </row>
    <row r="67" spans="1:5" ht="12.75">
      <c r="A67" s="80" t="str">
        <f>"Perfumes, Cosmetics &amp; Other Toilet Preparations - "&amp;TEXT((H68)/$H$295,"##0.00%")</f>
        <v>Perfumes, Cosmetics &amp; Other Toilet Preparations - 0.16%</v>
      </c>
      <c r="B67" s="46"/>
      <c r="C67" s="46"/>
      <c r="D67" s="60"/>
      <c r="E67" s="46"/>
    </row>
    <row r="68" spans="1:9" ht="12.75">
      <c r="A68" s="55" t="s">
        <v>76</v>
      </c>
      <c r="B68" s="33"/>
      <c r="C68" s="33"/>
      <c r="D68" s="59"/>
      <c r="E68" s="33"/>
      <c r="F68" s="8">
        <v>4751</v>
      </c>
      <c r="H68" s="8">
        <v>427828</v>
      </c>
      <c r="I68" s="27">
        <f>H68/$H$295</f>
        <v>0.0016425929560623545</v>
      </c>
    </row>
    <row r="69" spans="1:5" ht="12.75">
      <c r="A69" s="55"/>
      <c r="B69" s="33"/>
      <c r="C69" s="33"/>
      <c r="D69" s="59"/>
      <c r="E69" s="33"/>
    </row>
    <row r="70" spans="1:5" ht="12.75">
      <c r="A70" s="80" t="str">
        <f>"Personal Care Products - "&amp;TEXT((H71)/$H$295,"##0.00%")</f>
        <v>Personal Care Products - 0.18%</v>
      </c>
      <c r="B70" s="33"/>
      <c r="C70" s="33"/>
      <c r="D70" s="59"/>
      <c r="E70" s="33"/>
    </row>
    <row r="71" spans="1:9" ht="12.75">
      <c r="A71" s="55" t="s">
        <v>124</v>
      </c>
      <c r="B71" s="33"/>
      <c r="C71" s="33"/>
      <c r="D71" s="59"/>
      <c r="E71" s="33"/>
      <c r="F71" s="8">
        <v>21640</v>
      </c>
      <c r="H71" s="8">
        <v>464394</v>
      </c>
      <c r="I71" s="27">
        <f>H71/$H$295</f>
        <v>0.0017829836131286897</v>
      </c>
    </row>
    <row r="72" spans="1:5" ht="12.75">
      <c r="A72" s="55"/>
      <c r="B72" s="33"/>
      <c r="C72" s="33"/>
      <c r="D72" s="59"/>
      <c r="E72" s="33"/>
    </row>
    <row r="73" spans="1:5" ht="12.75">
      <c r="A73" s="80" t="str">
        <f>"Petroleum Refining - "&amp;TEXT((H77)/$H$295,"##0.00%")</f>
        <v>Petroleum Refining - 0.11%</v>
      </c>
      <c r="B73" s="33"/>
      <c r="C73" s="33"/>
      <c r="D73" s="59"/>
      <c r="E73" s="33"/>
    </row>
    <row r="74" spans="1:8" ht="12.75">
      <c r="A74" s="55" t="s">
        <v>125</v>
      </c>
      <c r="B74" s="33"/>
      <c r="C74" s="33"/>
      <c r="D74" s="59"/>
      <c r="E74" s="33"/>
      <c r="F74" s="8">
        <v>890</v>
      </c>
      <c r="H74" s="8">
        <v>140389</v>
      </c>
    </row>
    <row r="75" spans="1:8" ht="12.75">
      <c r="A75" s="55" t="s">
        <v>126</v>
      </c>
      <c r="B75" s="33"/>
      <c r="C75" s="33"/>
      <c r="D75" s="59"/>
      <c r="E75" s="33"/>
      <c r="F75" s="8">
        <v>1295</v>
      </c>
      <c r="H75" s="8">
        <v>150531</v>
      </c>
    </row>
    <row r="76" spans="1:8" ht="12.75">
      <c r="A76" s="55"/>
      <c r="B76" s="33"/>
      <c r="C76" s="33"/>
      <c r="D76" s="59"/>
      <c r="E76" s="33"/>
      <c r="H76" s="1"/>
    </row>
    <row r="77" spans="1:9" ht="12.75">
      <c r="A77" s="55"/>
      <c r="B77" s="33"/>
      <c r="C77" s="33"/>
      <c r="D77" s="59"/>
      <c r="E77" s="33"/>
      <c r="H77" s="8">
        <f>SUM(H74:H75)</f>
        <v>290920</v>
      </c>
      <c r="I77" s="27">
        <f>H77/$H$295</f>
        <v>0.0011169515384165136</v>
      </c>
    </row>
    <row r="78" spans="1:5" ht="12.75">
      <c r="A78" s="55"/>
      <c r="B78" s="33"/>
      <c r="C78" s="33"/>
      <c r="D78" s="59"/>
      <c r="E78" s="33"/>
    </row>
    <row r="79" spans="1:5" ht="12.75">
      <c r="A79" s="80" t="str">
        <f>"Pharmaceutical Preparations - "&amp;TEXT((H84)/$H$295,"##0.00%")</f>
        <v>Pharmaceutical Preparations - 0.39%</v>
      </c>
      <c r="B79" s="46"/>
      <c r="C79" s="46"/>
      <c r="D79" s="60"/>
      <c r="E79" s="46"/>
    </row>
    <row r="80" spans="1:8" ht="12.75">
      <c r="A80" s="55" t="s">
        <v>33</v>
      </c>
      <c r="B80" s="33"/>
      <c r="C80" s="33"/>
      <c r="D80" s="59"/>
      <c r="E80" s="33"/>
      <c r="F80" s="8">
        <v>3436</v>
      </c>
      <c r="H80" s="8">
        <v>390536</v>
      </c>
    </row>
    <row r="81" spans="1:8" ht="12.75">
      <c r="A81" s="55" t="s">
        <v>129</v>
      </c>
      <c r="B81" s="33"/>
      <c r="C81" s="33"/>
      <c r="D81" s="59"/>
      <c r="E81" s="33"/>
      <c r="F81" s="8">
        <v>1348</v>
      </c>
      <c r="H81" s="8">
        <v>245471</v>
      </c>
    </row>
    <row r="82" spans="1:8" ht="12.75">
      <c r="A82" s="55" t="s">
        <v>34</v>
      </c>
      <c r="B82" s="33"/>
      <c r="C82" s="33"/>
      <c r="D82" s="59"/>
      <c r="E82" s="33"/>
      <c r="F82" s="8">
        <v>2319</v>
      </c>
      <c r="H82" s="8">
        <v>366843</v>
      </c>
    </row>
    <row r="83" spans="1:5" ht="12.75">
      <c r="A83" s="55"/>
      <c r="B83" s="33"/>
      <c r="C83" s="33"/>
      <c r="D83" s="59"/>
      <c r="E83" s="33"/>
    </row>
    <row r="84" spans="1:9" ht="12.75">
      <c r="A84" s="55"/>
      <c r="B84" s="33"/>
      <c r="C84" s="33"/>
      <c r="D84" s="59"/>
      <c r="E84" s="33"/>
      <c r="H84" s="8">
        <f>SUM(H80:H83)</f>
        <v>1002850</v>
      </c>
      <c r="I84" s="27">
        <f>H84/$H$295</f>
        <v>0.003850319160941154</v>
      </c>
    </row>
    <row r="85" spans="1:5" ht="12.75">
      <c r="A85" s="55"/>
      <c r="B85" s="33"/>
      <c r="C85" s="33"/>
      <c r="D85" s="59"/>
      <c r="E85" s="33"/>
    </row>
    <row r="86" spans="1:5" ht="12.75">
      <c r="A86" s="80" t="str">
        <f>"Plastics, Materials, Synth Resins &amp; Nonvulcan Elastomers - "&amp;TEXT((H87)/$H$295,"##0.00%")</f>
        <v>Plastics, Materials, Synth Resins &amp; Nonvulcan Elastomers - 0.22%</v>
      </c>
      <c r="B86" s="46"/>
      <c r="C86" s="46"/>
      <c r="D86" s="60"/>
      <c r="E86" s="46"/>
    </row>
    <row r="87" spans="1:9" ht="12.75">
      <c r="A87" s="55" t="s">
        <v>35</v>
      </c>
      <c r="B87" s="33"/>
      <c r="C87" s="33"/>
      <c r="D87" s="59"/>
      <c r="E87" s="33"/>
      <c r="F87" s="8">
        <v>4428</v>
      </c>
      <c r="H87" s="8">
        <v>583345</v>
      </c>
      <c r="I87" s="27">
        <f>H87/$H$295</f>
        <v>0.002239681339122718</v>
      </c>
    </row>
    <row r="88" spans="1:5" ht="12.75">
      <c r="A88" s="55"/>
      <c r="B88" s="33"/>
      <c r="C88" s="33"/>
      <c r="D88" s="59"/>
      <c r="E88" s="33"/>
    </row>
    <row r="89" spans="1:5" ht="12.75">
      <c r="A89" s="80" t="str">
        <f>"Retail-Building Materials, Hardware, Garden Supply - "&amp;TEXT((H93)/$H$295,"##0.00%")</f>
        <v>Retail-Building Materials, Hardware, Garden Supply - 0.27%</v>
      </c>
      <c r="B89" s="46"/>
      <c r="C89" s="46"/>
      <c r="D89" s="60"/>
      <c r="E89" s="46"/>
    </row>
    <row r="90" spans="1:8" ht="12.75">
      <c r="A90" s="55" t="s">
        <v>130</v>
      </c>
      <c r="B90" s="46"/>
      <c r="C90" s="46"/>
      <c r="D90" s="60"/>
      <c r="E90" s="46"/>
      <c r="F90" s="8">
        <v>2096</v>
      </c>
      <c r="H90" s="8">
        <v>161685</v>
      </c>
    </row>
    <row r="91" spans="1:8" ht="12.75">
      <c r="A91" s="55" t="s">
        <v>84</v>
      </c>
      <c r="B91" s="33"/>
      <c r="C91" s="33"/>
      <c r="D91" s="59"/>
      <c r="E91" s="33"/>
      <c r="F91" s="8">
        <v>1569</v>
      </c>
      <c r="H91" s="8">
        <v>544961</v>
      </c>
    </row>
    <row r="92" spans="1:8" ht="12.75">
      <c r="A92" s="55"/>
      <c r="B92" s="33"/>
      <c r="C92" s="33"/>
      <c r="D92" s="59"/>
      <c r="E92" s="33"/>
      <c r="H92" s="1"/>
    </row>
    <row r="93" spans="1:9" ht="12.75">
      <c r="A93" s="55"/>
      <c r="B93" s="33"/>
      <c r="C93" s="33"/>
      <c r="D93" s="59"/>
      <c r="E93" s="33"/>
      <c r="H93" s="8">
        <f>SUM(H90:H91)</f>
        <v>706646</v>
      </c>
      <c r="I93" s="27">
        <f>H93/$H$295</f>
        <v>0.0027130803547912676</v>
      </c>
    </row>
    <row r="94" spans="1:8" ht="12.75">
      <c r="A94" s="55"/>
      <c r="B94" s="33"/>
      <c r="C94" s="33"/>
      <c r="D94" s="59"/>
      <c r="E94" s="33"/>
      <c r="H94" s="1"/>
    </row>
    <row r="95" spans="1:8" ht="12.75">
      <c r="A95" s="80" t="str">
        <f>"Retail-Lumber &amp; Other Building Materials Dealers - "&amp;TEXT((H96)/$H$295,"##0.00%")</f>
        <v>Retail-Lumber &amp; Other Building Materials Dealers - 0.21%</v>
      </c>
      <c r="B95" s="46"/>
      <c r="C95" s="46"/>
      <c r="D95" s="60"/>
      <c r="E95" s="46"/>
      <c r="H95" s="1"/>
    </row>
    <row r="96" spans="1:9" ht="12.75">
      <c r="A96" s="55" t="s">
        <v>80</v>
      </c>
      <c r="B96" s="33"/>
      <c r="C96" s="33"/>
      <c r="D96" s="59"/>
      <c r="E96" s="33"/>
      <c r="F96" s="8">
        <v>2186</v>
      </c>
      <c r="H96" s="8">
        <v>556840</v>
      </c>
      <c r="I96" s="27">
        <f>H96/$H$295</f>
        <v>0.002137918653416236</v>
      </c>
    </row>
    <row r="97" spans="1:5" ht="12.75">
      <c r="A97" s="55"/>
      <c r="B97" s="33"/>
      <c r="C97" s="33"/>
      <c r="D97" s="59"/>
      <c r="E97" s="33"/>
    </row>
    <row r="98" spans="1:5" ht="12.75">
      <c r="A98" s="80" t="str">
        <f>"Retail-Variety Stores - "&amp;TEXT((H99)/$H$295,"##0.00%")</f>
        <v>Retail-Variety Stores - 0.16%</v>
      </c>
      <c r="B98" s="46"/>
      <c r="C98" s="46"/>
      <c r="D98" s="60"/>
      <c r="E98" s="46"/>
    </row>
    <row r="99" spans="1:9" ht="12.75">
      <c r="A99" s="55" t="s">
        <v>36</v>
      </c>
      <c r="B99" s="33"/>
      <c r="C99" s="33"/>
      <c r="D99" s="59"/>
      <c r="E99" s="33"/>
      <c r="F99" s="8">
        <v>2324</v>
      </c>
      <c r="H99" s="8">
        <v>411836</v>
      </c>
      <c r="I99" s="27">
        <f>H99/$H$295</f>
        <v>0.0015811936400911015</v>
      </c>
    </row>
    <row r="100" spans="1:5" ht="12.75">
      <c r="A100" s="55"/>
      <c r="B100" s="33"/>
      <c r="C100" s="33"/>
      <c r="D100" s="59"/>
      <c r="E100" s="33"/>
    </row>
    <row r="101" spans="1:5" ht="12.75">
      <c r="A101" s="80" t="str">
        <f>"Soap, Detergent, Cleaning Preparations, Perfumes, Cosmetics - "&amp;TEXT((H105)/$H$295,"##0.00%")</f>
        <v>Soap, Detergent, Cleaning Preparations, Perfumes, Cosmetics - 0.34%</v>
      </c>
      <c r="B101" s="46"/>
      <c r="C101" s="46"/>
      <c r="D101" s="60"/>
      <c r="E101" s="46"/>
    </row>
    <row r="102" spans="1:8" ht="12.75">
      <c r="A102" s="55" t="s">
        <v>37</v>
      </c>
      <c r="B102" s="33"/>
      <c r="C102" s="33"/>
      <c r="D102" s="59"/>
      <c r="E102" s="33"/>
      <c r="F102" s="8">
        <v>2036</v>
      </c>
      <c r="H102" s="8">
        <v>470112</v>
      </c>
    </row>
    <row r="103" spans="1:8" ht="12.75">
      <c r="A103" s="55" t="s">
        <v>98</v>
      </c>
      <c r="B103" s="33"/>
      <c r="C103" s="33"/>
      <c r="D103" s="59"/>
      <c r="E103" s="33"/>
      <c r="F103" s="8">
        <v>2513</v>
      </c>
      <c r="H103" s="8">
        <v>407734</v>
      </c>
    </row>
    <row r="104" spans="1:5" ht="12.75">
      <c r="A104" s="55"/>
      <c r="B104" s="33"/>
      <c r="C104" s="33"/>
      <c r="D104" s="59"/>
      <c r="E104" s="33"/>
    </row>
    <row r="105" spans="1:9" ht="12.75">
      <c r="A105" s="55"/>
      <c r="B105" s="33"/>
      <c r="C105" s="33"/>
      <c r="D105" s="59"/>
      <c r="E105" s="33"/>
      <c r="H105" s="8">
        <f>SUM(H102:H104)</f>
        <v>877846</v>
      </c>
      <c r="I105" s="27">
        <f>H105/$H$295</f>
        <v>0.0033703816863494525</v>
      </c>
    </row>
    <row r="106" spans="1:5" ht="12.75">
      <c r="A106" s="55"/>
      <c r="B106" s="33"/>
      <c r="C106" s="33"/>
      <c r="D106" s="59"/>
      <c r="E106" s="33"/>
    </row>
    <row r="107" spans="1:19" s="52" customFormat="1" ht="12.75">
      <c r="A107" s="80" t="str">
        <f>"Special Industry Machinery (No Metalworking Machinery) - "&amp;TEXT((H108)/$H$295,"##0.00%")</f>
        <v>Special Industry Machinery (No Metalworking Machinery) - 0.22%</v>
      </c>
      <c r="B107" s="80"/>
      <c r="C107" s="80"/>
      <c r="D107" s="81"/>
      <c r="E107" s="80"/>
      <c r="F107" s="51"/>
      <c r="G107" s="51"/>
      <c r="H107" s="51"/>
      <c r="I107" s="54"/>
      <c r="J107" s="50"/>
      <c r="K107" s="50"/>
      <c r="L107" s="50"/>
      <c r="M107" s="54"/>
      <c r="N107" s="54"/>
      <c r="O107" s="53"/>
      <c r="P107" s="53"/>
      <c r="S107" s="79"/>
    </row>
    <row r="108" spans="1:19" s="52" customFormat="1" ht="12.75">
      <c r="A108" s="55" t="s">
        <v>41</v>
      </c>
      <c r="B108" s="55"/>
      <c r="C108" s="55"/>
      <c r="D108" s="82"/>
      <c r="E108" s="55"/>
      <c r="F108" s="8">
        <v>6670</v>
      </c>
      <c r="G108" s="8"/>
      <c r="H108" s="8">
        <v>569885</v>
      </c>
      <c r="I108" s="54">
        <f>H108/$H$295</f>
        <v>0.0021880033255551176</v>
      </c>
      <c r="J108" s="50"/>
      <c r="K108" s="50"/>
      <c r="L108" s="50"/>
      <c r="M108" s="54"/>
      <c r="N108" s="54"/>
      <c r="O108" s="53"/>
      <c r="P108" s="53"/>
      <c r="S108" s="79"/>
    </row>
    <row r="109" spans="1:19" s="52" customFormat="1" ht="12.75">
      <c r="A109" s="55"/>
      <c r="B109" s="55"/>
      <c r="C109" s="55"/>
      <c r="D109" s="82"/>
      <c r="E109" s="55"/>
      <c r="F109" s="51"/>
      <c r="G109" s="51"/>
      <c r="H109" s="51"/>
      <c r="I109" s="54"/>
      <c r="J109" s="50"/>
      <c r="K109" s="50"/>
      <c r="L109" s="50"/>
      <c r="M109" s="54"/>
      <c r="N109" s="54"/>
      <c r="O109" s="53"/>
      <c r="P109" s="53"/>
      <c r="S109" s="79"/>
    </row>
    <row r="110" spans="1:19" s="52" customFormat="1" ht="12.75">
      <c r="A110" s="80" t="str">
        <f>"Specialty Cleaning, Polishing &amp; Sanitation Preparations - "&amp;TEXT((H111)/$H$295,"##0.00%")</f>
        <v>Specialty Cleaning, Polishing &amp; Sanitation Preparations - 0.14%</v>
      </c>
      <c r="B110" s="80"/>
      <c r="C110" s="80"/>
      <c r="D110" s="81"/>
      <c r="E110" s="80"/>
      <c r="F110" s="51"/>
      <c r="G110" s="51"/>
      <c r="H110" s="51"/>
      <c r="I110" s="54"/>
      <c r="J110" s="50"/>
      <c r="K110" s="50"/>
      <c r="L110" s="50"/>
      <c r="M110" s="54"/>
      <c r="N110" s="54"/>
      <c r="O110" s="53"/>
      <c r="P110" s="53"/>
      <c r="S110" s="79"/>
    </row>
    <row r="111" spans="1:19" s="52" customFormat="1" ht="12.75">
      <c r="A111" s="55" t="s">
        <v>74</v>
      </c>
      <c r="B111" s="55"/>
      <c r="C111" s="55"/>
      <c r="D111" s="82"/>
      <c r="E111" s="55"/>
      <c r="F111" s="8">
        <v>2400</v>
      </c>
      <c r="G111" s="8"/>
      <c r="H111" s="8">
        <v>367464</v>
      </c>
      <c r="I111" s="54">
        <f>H111/$H$295</f>
        <v>0.0014108328066571075</v>
      </c>
      <c r="J111" s="50"/>
      <c r="K111" s="50"/>
      <c r="L111" s="50"/>
      <c r="M111" s="54"/>
      <c r="N111" s="54"/>
      <c r="O111" s="53"/>
      <c r="P111" s="53"/>
      <c r="S111" s="79"/>
    </row>
    <row r="112" spans="1:19" s="52" customFormat="1" ht="12.75">
      <c r="A112" s="55"/>
      <c r="B112" s="55"/>
      <c r="C112" s="55"/>
      <c r="D112" s="82"/>
      <c r="E112" s="55"/>
      <c r="F112" s="51"/>
      <c r="G112" s="51"/>
      <c r="H112" s="51"/>
      <c r="I112" s="54"/>
      <c r="J112" s="50"/>
      <c r="K112" s="50"/>
      <c r="L112" s="50"/>
      <c r="M112" s="54"/>
      <c r="N112" s="54"/>
      <c r="O112" s="53"/>
      <c r="P112" s="53"/>
      <c r="S112" s="79"/>
    </row>
    <row r="113" spans="1:5" ht="12.75">
      <c r="A113" s="80" t="str">
        <f>"Steel Works, Blast Furnaces &amp; Rolling Mills (Coke Ovens) - "&amp;TEXT((H114)/$H$295,"##0.00%")</f>
        <v>Steel Works, Blast Furnaces &amp; Rolling Mills (Coke Ovens) - 0.21%</v>
      </c>
      <c r="B113" s="80"/>
      <c r="C113" s="80"/>
      <c r="D113" s="81"/>
      <c r="E113" s="46"/>
    </row>
    <row r="114" spans="1:9" ht="12.75">
      <c r="A114" s="55" t="s">
        <v>62</v>
      </c>
      <c r="B114" s="55"/>
      <c r="C114" s="55"/>
      <c r="D114" s="82"/>
      <c r="E114" s="33"/>
      <c r="F114" s="8">
        <v>2797</v>
      </c>
      <c r="H114" s="8">
        <v>553526</v>
      </c>
      <c r="I114" s="27">
        <f>H114/$H$295</f>
        <v>0.0021251949582481063</v>
      </c>
    </row>
    <row r="115" spans="1:5" ht="12.75">
      <c r="A115" s="55"/>
      <c r="B115" s="55"/>
      <c r="C115" s="55"/>
      <c r="D115" s="82"/>
      <c r="E115" s="33"/>
    </row>
    <row r="116" spans="1:5" ht="12.75">
      <c r="A116" s="80" t="str">
        <f>"Surgical &amp; Medical Instruments &amp; Apparatus - "&amp;TEXT((H120)/$H$295,"##0.00%")</f>
        <v>Surgical &amp; Medical Instruments &amp; Apparatus - 0.35%</v>
      </c>
      <c r="B116" s="46"/>
      <c r="C116" s="46"/>
      <c r="D116" s="60"/>
      <c r="E116" s="46"/>
    </row>
    <row r="117" spans="1:8" ht="12.75">
      <c r="A117" s="55" t="s">
        <v>73</v>
      </c>
      <c r="B117" s="33"/>
      <c r="C117" s="33"/>
      <c r="D117" s="59"/>
      <c r="E117" s="33"/>
      <c r="F117" s="8">
        <v>1440</v>
      </c>
      <c r="H117" s="8">
        <v>356328</v>
      </c>
    </row>
    <row r="118" spans="1:8" ht="12.75">
      <c r="A118" s="55" t="s">
        <v>86</v>
      </c>
      <c r="B118" s="33"/>
      <c r="C118" s="33"/>
      <c r="D118" s="59"/>
      <c r="E118" s="33"/>
      <c r="F118" s="8">
        <v>1422</v>
      </c>
      <c r="H118" s="8">
        <v>562700</v>
      </c>
    </row>
    <row r="119" spans="1:5" ht="12.75">
      <c r="A119" s="55"/>
      <c r="B119" s="33"/>
      <c r="C119" s="33"/>
      <c r="D119" s="59"/>
      <c r="E119" s="33"/>
    </row>
    <row r="120" spans="1:9" ht="12.75">
      <c r="A120" s="55"/>
      <c r="B120" s="33"/>
      <c r="C120" s="33"/>
      <c r="D120" s="59"/>
      <c r="E120" s="33"/>
      <c r="H120" s="8">
        <f>SUM(H117:H119)</f>
        <v>919028</v>
      </c>
      <c r="I120" s="27">
        <f>H120/$H$295</f>
        <v>0.0035284949073554643</v>
      </c>
    </row>
    <row r="121" spans="1:5" ht="12.75">
      <c r="A121" s="55"/>
      <c r="B121" s="33"/>
      <c r="C121" s="33"/>
      <c r="D121" s="59"/>
      <c r="E121" s="33"/>
    </row>
    <row r="122" spans="1:5" ht="12.75">
      <c r="A122" s="80" t="str">
        <f>"Wholesale-Durable Goods - "&amp;TEXT((H123)/$H$295,"##0.00%")</f>
        <v>Wholesale-Durable Goods - 0.22%</v>
      </c>
      <c r="B122" s="80"/>
      <c r="C122" s="80"/>
      <c r="D122" s="81"/>
      <c r="E122" s="46"/>
    </row>
    <row r="123" spans="1:9" ht="12.75">
      <c r="A123" s="55" t="s">
        <v>27</v>
      </c>
      <c r="B123" s="55"/>
      <c r="C123" s="55"/>
      <c r="D123" s="82"/>
      <c r="E123" s="33"/>
      <c r="F123" s="8">
        <v>551</v>
      </c>
      <c r="H123" s="8">
        <v>560532</v>
      </c>
      <c r="I123" s="27">
        <f>H123/$H$295</f>
        <v>0.0021520936330664277</v>
      </c>
    </row>
    <row r="124" spans="1:5" ht="12.75">
      <c r="A124" s="55"/>
      <c r="B124" s="55"/>
      <c r="C124" s="55"/>
      <c r="D124" s="82"/>
      <c r="E124" s="33"/>
    </row>
    <row r="125" spans="1:5" ht="12.75">
      <c r="A125" s="80" t="str">
        <f>"Wholesale-Groceries &amp; Related Products - "&amp;TEXT((H126)/$H$295,"##0.00%")</f>
        <v>Wholesale-Groceries &amp; Related Products - 0.17%</v>
      </c>
      <c r="B125" s="80"/>
      <c r="C125" s="80"/>
      <c r="D125" s="81"/>
      <c r="E125" s="46"/>
    </row>
    <row r="126" spans="1:9" ht="12.75">
      <c r="A126" s="55" t="s">
        <v>63</v>
      </c>
      <c r="B126" s="33"/>
      <c r="C126" s="33"/>
      <c r="D126" s="59"/>
      <c r="E126" s="33"/>
      <c r="F126" s="8">
        <v>5384</v>
      </c>
      <c r="H126" s="8">
        <v>437073</v>
      </c>
      <c r="I126" s="27">
        <f>H126/$H$295</f>
        <v>0.0016780879958418838</v>
      </c>
    </row>
    <row r="127" spans="1:5" ht="12" customHeight="1">
      <c r="A127" s="55"/>
      <c r="B127" s="33"/>
      <c r="C127" s="33"/>
      <c r="D127" s="59"/>
      <c r="E127" s="33"/>
    </row>
    <row r="128" spans="1:5" ht="12.75">
      <c r="A128" s="80" t="str">
        <f>"Wholesale-Motor Vehicle Supplies &amp; New Parts - "&amp;TEXT((H129)/$H$295,"##0.00%")</f>
        <v>Wholesale-Motor Vehicle Supplies &amp; New Parts - 0.19%</v>
      </c>
      <c r="B128" s="80"/>
      <c r="C128" s="80"/>
      <c r="D128" s="81"/>
      <c r="E128" s="46"/>
    </row>
    <row r="129" spans="1:9" ht="12.75">
      <c r="A129" s="55" t="s">
        <v>38</v>
      </c>
      <c r="B129" s="33"/>
      <c r="C129" s="33"/>
      <c r="D129" s="59"/>
      <c r="E129" s="33"/>
      <c r="F129" s="8">
        <v>3268</v>
      </c>
      <c r="H129" s="8">
        <v>506311</v>
      </c>
      <c r="I129" s="27">
        <f>H129/$H$295</f>
        <v>0.0019439187761831548</v>
      </c>
    </row>
    <row r="130" spans="1:5" ht="12" customHeight="1">
      <c r="A130" s="33"/>
      <c r="B130" s="33"/>
      <c r="C130" s="33"/>
      <c r="D130" s="59"/>
      <c r="E130" s="33"/>
    </row>
    <row r="131" spans="1:12" ht="12.75">
      <c r="A131" s="33" t="s">
        <v>5</v>
      </c>
      <c r="B131" s="33"/>
      <c r="C131" s="33"/>
      <c r="D131" s="59"/>
      <c r="E131" s="33"/>
      <c r="F131" s="8" t="s">
        <v>127</v>
      </c>
      <c r="H131" s="51">
        <f>H129+H123+H120+H111+H108+H105+H99+H96+H93+H87+H84+H65+H62+H56+H44+H35+H32+H26+H23+H20+H29+H53+H68+H126+H114+H59+H14+H77+H71+H47+H41</f>
        <v>17154873</v>
      </c>
      <c r="I131" s="27">
        <f>H131/$H$295</f>
        <v>0.06586402374773102</v>
      </c>
      <c r="J131" s="50"/>
      <c r="K131" s="50"/>
      <c r="L131" s="50"/>
    </row>
    <row r="132" spans="1:12" ht="12.75">
      <c r="A132" s="45"/>
      <c r="B132" s="45"/>
      <c r="C132" s="45"/>
      <c r="D132" s="61"/>
      <c r="E132" s="45"/>
      <c r="J132" s="50"/>
      <c r="K132" s="50"/>
      <c r="L132" s="50"/>
    </row>
    <row r="133" spans="1:12" ht="12.75">
      <c r="A133" s="34" t="str">
        <f>"Real Estate Investment Trusts - "&amp;TEXT((H137)/$H$295,"##0.00% (5)")</f>
        <v>Real Estate Investment Trusts - 0.19% (5)</v>
      </c>
      <c r="B133" s="34"/>
      <c r="C133" s="34"/>
      <c r="D133" s="58"/>
      <c r="E133" s="34"/>
      <c r="F133" s="34"/>
      <c r="G133" s="34"/>
      <c r="H133" s="34"/>
      <c r="J133" s="50"/>
      <c r="K133" s="50"/>
      <c r="L133" s="50"/>
    </row>
    <row r="134" spans="1:12" ht="12.75">
      <c r="A134" s="33"/>
      <c r="B134" s="33"/>
      <c r="C134" s="33"/>
      <c r="D134" s="64"/>
      <c r="E134" s="4"/>
      <c r="J134" s="50"/>
      <c r="K134" s="50"/>
      <c r="L134" s="50"/>
    </row>
    <row r="135" spans="1:12" ht="12.75">
      <c r="A135" s="55" t="s">
        <v>60</v>
      </c>
      <c r="B135" s="55"/>
      <c r="C135" s="55"/>
      <c r="D135" s="82"/>
      <c r="E135" s="33"/>
      <c r="F135" s="8">
        <v>2022</v>
      </c>
      <c r="H135" s="8">
        <v>495006</v>
      </c>
      <c r="J135" s="50"/>
      <c r="K135" s="50"/>
      <c r="L135" s="50"/>
    </row>
    <row r="136" spans="1:12" ht="12.75">
      <c r="A136" s="33"/>
      <c r="B136" s="33"/>
      <c r="C136" s="33"/>
      <c r="D136" s="59"/>
      <c r="E136" s="33"/>
      <c r="J136" s="50"/>
      <c r="K136" s="50"/>
      <c r="L136" s="50"/>
    </row>
    <row r="137" spans="1:12" ht="12.75">
      <c r="A137" s="33" t="s">
        <v>61</v>
      </c>
      <c r="B137" s="33"/>
      <c r="C137" s="33"/>
      <c r="D137" s="59"/>
      <c r="E137" s="33"/>
      <c r="F137" s="8" t="s">
        <v>131</v>
      </c>
      <c r="H137" s="8">
        <f>SUM(H135:H136)</f>
        <v>495006</v>
      </c>
      <c r="I137" s="27">
        <f>H137/$H$295</f>
        <v>0.001900514619914082</v>
      </c>
      <c r="J137" s="50"/>
      <c r="K137" s="50"/>
      <c r="L137" s="50"/>
    </row>
    <row r="138" spans="1:12" ht="12.75">
      <c r="A138" s="33"/>
      <c r="B138" s="33"/>
      <c r="C138" s="33"/>
      <c r="D138" s="59"/>
      <c r="E138" s="33"/>
      <c r="J138" s="50"/>
      <c r="K138" s="50"/>
      <c r="L138" s="50"/>
    </row>
    <row r="139" spans="1:8" ht="12.75">
      <c r="A139" s="34" t="str">
        <f>"Sukuks - "&amp;TEXT((H246)/$H$295,"##0.00%")</f>
        <v>Sukuks - 62.72%</v>
      </c>
      <c r="B139" s="34"/>
      <c r="C139" s="34"/>
      <c r="D139" s="58"/>
      <c r="E139" s="34"/>
      <c r="F139" s="34"/>
      <c r="G139" s="34"/>
      <c r="H139" s="34"/>
    </row>
    <row r="140" spans="1:8" ht="12.75">
      <c r="A140" s="33"/>
      <c r="B140" s="33"/>
      <c r="C140" s="33"/>
      <c r="D140" s="59"/>
      <c r="E140" s="9"/>
      <c r="F140" s="5"/>
      <c r="G140" s="5"/>
      <c r="H140" s="5"/>
    </row>
    <row r="141" spans="1:5" ht="12.75">
      <c r="A141" s="46" t="str">
        <f>"Banks - "&amp;TEXT((H149)/$H$295+0.0001,"##0.00%")</f>
        <v>Banks - 5.79%</v>
      </c>
      <c r="B141" s="46"/>
      <c r="C141" s="46"/>
      <c r="D141" s="62"/>
      <c r="E141" s="46"/>
    </row>
    <row r="142" spans="1:8" ht="12.75">
      <c r="A142" s="55" t="s">
        <v>173</v>
      </c>
      <c r="B142" s="46"/>
      <c r="C142" s="46"/>
      <c r="D142" s="62"/>
      <c r="E142" s="46"/>
      <c r="F142" s="8">
        <v>1500000</v>
      </c>
      <c r="H142" s="8">
        <v>1530300</v>
      </c>
    </row>
    <row r="143" spans="1:19" s="52" customFormat="1" ht="12.75">
      <c r="A143" s="55" t="s">
        <v>172</v>
      </c>
      <c r="B143" s="55"/>
      <c r="C143" s="55"/>
      <c r="D143" s="84"/>
      <c r="E143" s="55"/>
      <c r="F143" s="8">
        <v>2000000</v>
      </c>
      <c r="G143" s="8"/>
      <c r="H143" s="8">
        <v>1981300</v>
      </c>
      <c r="I143" s="54"/>
      <c r="J143" s="50"/>
      <c r="K143" s="50"/>
      <c r="L143" s="50"/>
      <c r="M143" s="54"/>
      <c r="N143" s="54"/>
      <c r="O143" s="53"/>
      <c r="P143" s="53"/>
      <c r="S143" s="79"/>
    </row>
    <row r="144" spans="1:19" s="52" customFormat="1" ht="12.75">
      <c r="A144" s="55" t="s">
        <v>115</v>
      </c>
      <c r="B144" s="55"/>
      <c r="C144" s="55"/>
      <c r="D144" s="84"/>
      <c r="E144" s="55"/>
      <c r="F144" s="8">
        <v>1000000</v>
      </c>
      <c r="G144" s="8"/>
      <c r="H144" s="8">
        <v>934449</v>
      </c>
      <c r="I144" s="54"/>
      <c r="J144" s="50"/>
      <c r="K144" s="50"/>
      <c r="L144" s="50"/>
      <c r="M144" s="54"/>
      <c r="N144" s="54"/>
      <c r="O144" s="53"/>
      <c r="P144" s="53"/>
      <c r="S144" s="79"/>
    </row>
    <row r="145" spans="1:19" s="52" customFormat="1" ht="12.75">
      <c r="A145" s="55" t="s">
        <v>171</v>
      </c>
      <c r="B145" s="55"/>
      <c r="C145" s="55"/>
      <c r="D145" s="84"/>
      <c r="E145" s="55"/>
      <c r="F145" s="8">
        <v>2000000</v>
      </c>
      <c r="G145" s="8"/>
      <c r="H145" s="8">
        <v>1972500</v>
      </c>
      <c r="I145" s="54"/>
      <c r="J145" s="50"/>
      <c r="K145" s="50"/>
      <c r="L145" s="50"/>
      <c r="M145" s="54"/>
      <c r="N145" s="54"/>
      <c r="O145" s="53"/>
      <c r="P145" s="53"/>
      <c r="S145" s="79"/>
    </row>
    <row r="146" spans="1:19" s="52" customFormat="1" ht="12.75">
      <c r="A146" s="55" t="s">
        <v>117</v>
      </c>
      <c r="B146" s="55"/>
      <c r="C146" s="55"/>
      <c r="D146" s="84"/>
      <c r="E146" s="55"/>
      <c r="F146" s="8">
        <v>5500000</v>
      </c>
      <c r="G146" s="8"/>
      <c r="H146" s="8">
        <v>5370525</v>
      </c>
      <c r="I146" s="54"/>
      <c r="J146" s="50"/>
      <c r="K146" s="50"/>
      <c r="L146" s="50"/>
      <c r="M146" s="54"/>
      <c r="N146" s="54"/>
      <c r="O146" s="53"/>
      <c r="P146" s="53"/>
      <c r="S146" s="79"/>
    </row>
    <row r="147" spans="1:19" s="52" customFormat="1" ht="12.75">
      <c r="A147" s="55" t="s">
        <v>105</v>
      </c>
      <c r="B147" s="55"/>
      <c r="C147" s="55"/>
      <c r="D147" s="86"/>
      <c r="E147" s="55"/>
      <c r="F147" s="8">
        <v>3450000</v>
      </c>
      <c r="G147" s="8"/>
      <c r="H147" s="8">
        <v>3273188</v>
      </c>
      <c r="I147" s="54"/>
      <c r="J147" s="50"/>
      <c r="K147" s="50"/>
      <c r="L147" s="50"/>
      <c r="M147" s="54"/>
      <c r="N147" s="54"/>
      <c r="O147" s="53"/>
      <c r="P147" s="53"/>
      <c r="S147" s="79"/>
    </row>
    <row r="148" spans="1:19" s="52" customFormat="1" ht="12.75">
      <c r="A148" s="55"/>
      <c r="B148" s="55"/>
      <c r="C148" s="55"/>
      <c r="D148" s="84"/>
      <c r="E148" s="55"/>
      <c r="F148" s="51"/>
      <c r="G148" s="51"/>
      <c r="H148" s="51"/>
      <c r="I148" s="54"/>
      <c r="J148" s="50"/>
      <c r="K148" s="50"/>
      <c r="L148" s="50"/>
      <c r="M148" s="54"/>
      <c r="N148" s="54"/>
      <c r="O148" s="53"/>
      <c r="P148" s="53"/>
      <c r="S148" s="79"/>
    </row>
    <row r="149" spans="1:19" s="52" customFormat="1" ht="12.75">
      <c r="A149" s="55"/>
      <c r="B149" s="55"/>
      <c r="C149" s="55"/>
      <c r="D149" s="84"/>
      <c r="E149" s="55"/>
      <c r="F149" s="51"/>
      <c r="G149" s="51"/>
      <c r="H149" s="51">
        <f>SUM(H142:H147)</f>
        <v>15062262</v>
      </c>
      <c r="I149" s="54">
        <f>H149/$H$295</f>
        <v>0.05782970133690565</v>
      </c>
      <c r="J149" s="50"/>
      <c r="K149" s="50"/>
      <c r="L149" s="50"/>
      <c r="M149" s="54"/>
      <c r="N149" s="54"/>
      <c r="O149" s="53"/>
      <c r="P149" s="53"/>
      <c r="S149" s="79"/>
    </row>
    <row r="150" spans="1:19" s="52" customFormat="1" ht="12.75">
      <c r="A150" s="55"/>
      <c r="B150" s="55"/>
      <c r="C150" s="55"/>
      <c r="D150" s="84"/>
      <c r="E150" s="55"/>
      <c r="F150" s="51"/>
      <c r="G150" s="51"/>
      <c r="H150" s="51"/>
      <c r="I150" s="54"/>
      <c r="J150" s="50"/>
      <c r="K150" s="50"/>
      <c r="L150" s="50"/>
      <c r="M150" s="54"/>
      <c r="N150" s="54"/>
      <c r="O150" s="53"/>
      <c r="P150" s="53"/>
      <c r="S150" s="79"/>
    </row>
    <row r="151" spans="1:19" s="52" customFormat="1" ht="12.75">
      <c r="A151" s="80" t="str">
        <f>"Communications Equipment - "&amp;TEXT((H152)/$H$295,"##0.00%")</f>
        <v>Communications Equipment - 0.76%</v>
      </c>
      <c r="B151" s="80"/>
      <c r="C151" s="80"/>
      <c r="D151" s="83"/>
      <c r="E151" s="80"/>
      <c r="F151" s="51"/>
      <c r="G151" s="51"/>
      <c r="H151" s="51"/>
      <c r="I151" s="54"/>
      <c r="J151" s="50"/>
      <c r="K151" s="50"/>
      <c r="L151" s="50"/>
      <c r="M151" s="54"/>
      <c r="N151" s="54"/>
      <c r="O151" s="53"/>
      <c r="P151" s="53"/>
      <c r="S151" s="79"/>
    </row>
    <row r="152" spans="1:19" s="52" customFormat="1" ht="12.75">
      <c r="A152" s="55" t="s">
        <v>118</v>
      </c>
      <c r="B152" s="55"/>
      <c r="C152" s="55"/>
      <c r="D152" s="84"/>
      <c r="E152" s="55"/>
      <c r="F152" s="8">
        <v>2000000</v>
      </c>
      <c r="G152" s="8"/>
      <c r="H152" s="8">
        <v>1984950</v>
      </c>
      <c r="I152" s="54">
        <f>H152/$H$295</f>
        <v>0.007620971250446372</v>
      </c>
      <c r="J152" s="50"/>
      <c r="K152" s="50"/>
      <c r="L152" s="50"/>
      <c r="M152" s="54"/>
      <c r="N152" s="54"/>
      <c r="O152" s="53"/>
      <c r="P152" s="53"/>
      <c r="S152" s="79"/>
    </row>
    <row r="153" spans="1:19" s="52" customFormat="1" ht="12.75">
      <c r="A153" s="55"/>
      <c r="B153" s="55"/>
      <c r="C153" s="55"/>
      <c r="D153" s="84"/>
      <c r="E153" s="55"/>
      <c r="F153" s="51"/>
      <c r="G153" s="51"/>
      <c r="H153" s="51"/>
      <c r="I153" s="54"/>
      <c r="J153" s="50"/>
      <c r="K153" s="50"/>
      <c r="L153" s="50"/>
      <c r="M153" s="54"/>
      <c r="N153" s="54"/>
      <c r="O153" s="53"/>
      <c r="P153" s="53"/>
      <c r="S153" s="79"/>
    </row>
    <row r="154" spans="1:19" s="52" customFormat="1" ht="12.75">
      <c r="A154" s="80" t="str">
        <f>"Energy - "&amp;TEXT((H159)/$H$295,"##0.00%")</f>
        <v>Energy - 3.87%</v>
      </c>
      <c r="B154" s="80"/>
      <c r="C154" s="80"/>
      <c r="D154" s="83"/>
      <c r="E154" s="80"/>
      <c r="F154" s="51"/>
      <c r="G154" s="51"/>
      <c r="H154" s="51"/>
      <c r="I154" s="54"/>
      <c r="J154" s="50"/>
      <c r="K154" s="50"/>
      <c r="L154" s="50"/>
      <c r="M154" s="54"/>
      <c r="N154" s="54"/>
      <c r="O154" s="53"/>
      <c r="P154" s="53"/>
      <c r="S154" s="79"/>
    </row>
    <row r="155" spans="1:19" s="52" customFormat="1" ht="12.75">
      <c r="A155" s="52" t="s">
        <v>89</v>
      </c>
      <c r="B155" s="55"/>
      <c r="C155" s="55"/>
      <c r="D155" s="84"/>
      <c r="E155" s="55"/>
      <c r="F155" s="8">
        <v>6500000</v>
      </c>
      <c r="G155" s="8"/>
      <c r="H155" s="8">
        <v>6425640</v>
      </c>
      <c r="I155" s="54"/>
      <c r="J155" s="50"/>
      <c r="K155" s="50"/>
      <c r="L155" s="50"/>
      <c r="M155" s="54"/>
      <c r="N155" s="54"/>
      <c r="O155" s="53"/>
      <c r="P155" s="53"/>
      <c r="S155" s="79"/>
    </row>
    <row r="156" spans="1:19" s="52" customFormat="1" ht="12.75">
      <c r="A156" s="52" t="s">
        <v>89</v>
      </c>
      <c r="B156" s="55"/>
      <c r="C156" s="55"/>
      <c r="D156" s="84"/>
      <c r="E156" s="55"/>
      <c r="F156" s="8">
        <v>3000000</v>
      </c>
      <c r="G156" s="8"/>
      <c r="H156" s="8">
        <v>2969820</v>
      </c>
      <c r="I156" s="54"/>
      <c r="J156" s="50"/>
      <c r="K156" s="50"/>
      <c r="L156" s="50"/>
      <c r="M156" s="54"/>
      <c r="N156" s="54"/>
      <c r="O156" s="53"/>
      <c r="P156" s="53"/>
      <c r="S156" s="79"/>
    </row>
    <row r="157" spans="1:19" s="52" customFormat="1" ht="12.75">
      <c r="A157" s="52" t="s">
        <v>90</v>
      </c>
      <c r="B157" s="55"/>
      <c r="C157" s="55"/>
      <c r="D157" s="84"/>
      <c r="E157" s="55"/>
      <c r="F157" s="8">
        <v>800000</v>
      </c>
      <c r="G157" s="8"/>
      <c r="H157" s="8">
        <v>687728</v>
      </c>
      <c r="I157" s="54"/>
      <c r="J157" s="50"/>
      <c r="K157" s="50"/>
      <c r="L157" s="50"/>
      <c r="M157" s="54"/>
      <c r="N157" s="54"/>
      <c r="O157" s="53"/>
      <c r="P157" s="53"/>
      <c r="S157" s="79"/>
    </row>
    <row r="158" spans="1:19" s="52" customFormat="1" ht="12.75">
      <c r="A158" s="55"/>
      <c r="B158" s="55"/>
      <c r="C158" s="55"/>
      <c r="D158" s="84"/>
      <c r="E158" s="55"/>
      <c r="F158" s="51"/>
      <c r="G158" s="51"/>
      <c r="H158" s="51"/>
      <c r="I158" s="54"/>
      <c r="J158" s="50"/>
      <c r="K158" s="50"/>
      <c r="L158" s="50"/>
      <c r="M158" s="54"/>
      <c r="N158" s="54"/>
      <c r="O158" s="53"/>
      <c r="P158" s="53"/>
      <c r="S158" s="79"/>
    </row>
    <row r="159" spans="1:19" s="52" customFormat="1" ht="12.75">
      <c r="A159" s="55"/>
      <c r="B159" s="55"/>
      <c r="C159" s="55"/>
      <c r="D159" s="84"/>
      <c r="E159" s="55"/>
      <c r="F159" s="51"/>
      <c r="G159" s="51"/>
      <c r="H159" s="51">
        <f>SUM(H155:H158)</f>
        <v>10083188</v>
      </c>
      <c r="I159" s="54">
        <f>H159/$H$295</f>
        <v>0.03871315945532424</v>
      </c>
      <c r="J159" s="50"/>
      <c r="K159" s="50"/>
      <c r="L159" s="50"/>
      <c r="M159" s="54"/>
      <c r="N159" s="54"/>
      <c r="O159" s="53"/>
      <c r="P159" s="53"/>
      <c r="S159" s="79"/>
    </row>
    <row r="160" spans="1:19" s="52" customFormat="1" ht="12.75">
      <c r="A160" s="55"/>
      <c r="B160" s="55"/>
      <c r="C160" s="55"/>
      <c r="D160" s="84"/>
      <c r="E160" s="55"/>
      <c r="F160" s="51"/>
      <c r="G160" s="51"/>
      <c r="H160" s="51"/>
      <c r="I160" s="54"/>
      <c r="J160" s="50"/>
      <c r="K160" s="50"/>
      <c r="L160" s="50"/>
      <c r="M160" s="54"/>
      <c r="N160" s="54"/>
      <c r="O160" s="53"/>
      <c r="P160" s="53"/>
      <c r="S160" s="79"/>
    </row>
    <row r="161" spans="1:19" s="52" customFormat="1" ht="12.75">
      <c r="A161" s="80" t="str">
        <f>"Financial Services - "&amp;TEXT((H165)/$H$295,"##0.00%")</f>
        <v>Financial Services - 2.47%</v>
      </c>
      <c r="B161" s="80"/>
      <c r="C161" s="80"/>
      <c r="D161" s="83"/>
      <c r="E161" s="80"/>
      <c r="F161" s="51"/>
      <c r="G161" s="51"/>
      <c r="H161" s="51"/>
      <c r="I161" s="54"/>
      <c r="J161" s="50"/>
      <c r="K161" s="50"/>
      <c r="L161" s="50"/>
      <c r="M161" s="54"/>
      <c r="N161" s="54"/>
      <c r="O161" s="53"/>
      <c r="P161" s="53"/>
      <c r="S161" s="79"/>
    </row>
    <row r="162" spans="1:19" s="52" customFormat="1" ht="12.75">
      <c r="A162" s="52" t="s">
        <v>170</v>
      </c>
      <c r="B162" s="80"/>
      <c r="C162" s="80"/>
      <c r="D162" s="83"/>
      <c r="E162" s="80"/>
      <c r="F162" s="51">
        <v>1500000</v>
      </c>
      <c r="G162" s="51"/>
      <c r="H162" s="51">
        <v>1502254</v>
      </c>
      <c r="I162" s="54"/>
      <c r="J162" s="50"/>
      <c r="K162" s="50"/>
      <c r="L162" s="50"/>
      <c r="M162" s="54"/>
      <c r="N162" s="54"/>
      <c r="O162" s="53"/>
      <c r="P162" s="53"/>
      <c r="S162" s="79"/>
    </row>
    <row r="163" spans="1:19" s="52" customFormat="1" ht="12.75">
      <c r="A163" s="52" t="s">
        <v>65</v>
      </c>
      <c r="B163" s="55"/>
      <c r="C163" s="55"/>
      <c r="D163" s="84"/>
      <c r="E163" s="55"/>
      <c r="F163" s="8">
        <v>5000000</v>
      </c>
      <c r="G163" s="8"/>
      <c r="H163" s="8">
        <v>4923055</v>
      </c>
      <c r="J163" s="50"/>
      <c r="K163" s="50"/>
      <c r="L163" s="50"/>
      <c r="M163" s="54"/>
      <c r="N163" s="54"/>
      <c r="O163" s="53"/>
      <c r="P163" s="53"/>
      <c r="S163" s="79"/>
    </row>
    <row r="164" spans="2:19" s="52" customFormat="1" ht="12.75">
      <c r="B164" s="55"/>
      <c r="C164" s="55"/>
      <c r="D164" s="84"/>
      <c r="E164" s="55"/>
      <c r="F164" s="8"/>
      <c r="G164" s="8"/>
      <c r="I164" s="54"/>
      <c r="J164" s="50"/>
      <c r="K164" s="50"/>
      <c r="L164" s="50"/>
      <c r="M164" s="54"/>
      <c r="N164" s="54"/>
      <c r="O164" s="53"/>
      <c r="P164" s="53"/>
      <c r="S164" s="79"/>
    </row>
    <row r="165" spans="2:19" s="52" customFormat="1" ht="12.75">
      <c r="B165" s="55"/>
      <c r="C165" s="55"/>
      <c r="D165" s="84"/>
      <c r="E165" s="55"/>
      <c r="F165" s="8"/>
      <c r="G165" s="8"/>
      <c r="H165" s="8">
        <f>SUM(H162:H163)</f>
        <v>6425309</v>
      </c>
      <c r="I165" s="54">
        <f>H165/$H$295</f>
        <v>0.02466918318558872</v>
      </c>
      <c r="J165" s="50"/>
      <c r="K165" s="50"/>
      <c r="L165" s="50"/>
      <c r="M165" s="54"/>
      <c r="N165" s="54"/>
      <c r="O165" s="53"/>
      <c r="P165" s="53"/>
      <c r="S165" s="79"/>
    </row>
    <row r="166" spans="2:19" s="52" customFormat="1" ht="12.75">
      <c r="B166" s="55"/>
      <c r="C166" s="55"/>
      <c r="D166" s="84"/>
      <c r="E166" s="55"/>
      <c r="F166" s="51"/>
      <c r="G166" s="51"/>
      <c r="H166" s="51"/>
      <c r="I166" s="54"/>
      <c r="J166" s="50"/>
      <c r="K166" s="50"/>
      <c r="L166" s="50"/>
      <c r="M166" s="54"/>
      <c r="N166" s="54"/>
      <c r="O166" s="53"/>
      <c r="P166" s="53"/>
      <c r="S166" s="79"/>
    </row>
    <row r="167" spans="1:19" s="52" customFormat="1" ht="12.75">
      <c r="A167" s="80" t="str">
        <f>"Home Construction - "&amp;TEXT((H172)/$H$295,"##0.00%")</f>
        <v>Home Construction - 5.56%</v>
      </c>
      <c r="B167" s="80"/>
      <c r="C167" s="80"/>
      <c r="D167" s="83"/>
      <c r="E167" s="80"/>
      <c r="F167" s="51"/>
      <c r="G167" s="51"/>
      <c r="H167" s="51"/>
      <c r="I167" s="54"/>
      <c r="J167" s="50"/>
      <c r="K167" s="50"/>
      <c r="L167" s="50"/>
      <c r="M167" s="54"/>
      <c r="N167" s="54"/>
      <c r="O167" s="53"/>
      <c r="P167" s="53"/>
      <c r="S167" s="79"/>
    </row>
    <row r="168" spans="1:19" s="52" customFormat="1" ht="12.75">
      <c r="A168" s="52" t="s">
        <v>66</v>
      </c>
      <c r="B168" s="55"/>
      <c r="C168" s="55"/>
      <c r="D168" s="84"/>
      <c r="E168" s="55"/>
      <c r="F168" s="8">
        <v>6000000</v>
      </c>
      <c r="G168" s="8"/>
      <c r="H168" s="8">
        <v>5934756</v>
      </c>
      <c r="I168" s="54"/>
      <c r="J168" s="50"/>
      <c r="K168" s="50"/>
      <c r="L168" s="50"/>
      <c r="M168" s="54"/>
      <c r="N168" s="54"/>
      <c r="O168" s="53"/>
      <c r="P168" s="53"/>
      <c r="S168" s="79"/>
    </row>
    <row r="169" spans="1:19" s="52" customFormat="1" ht="12.75">
      <c r="A169" s="52" t="s">
        <v>169</v>
      </c>
      <c r="F169" s="52">
        <v>1500000</v>
      </c>
      <c r="H169" s="8">
        <v>1404750</v>
      </c>
      <c r="I169" s="54"/>
      <c r="J169" s="50"/>
      <c r="K169" s="50"/>
      <c r="L169" s="50"/>
      <c r="M169" s="54"/>
      <c r="N169" s="54"/>
      <c r="O169" s="53"/>
      <c r="P169" s="53"/>
      <c r="S169" s="79"/>
    </row>
    <row r="170" spans="1:19" s="52" customFormat="1" ht="12.75">
      <c r="A170" s="52" t="s">
        <v>68</v>
      </c>
      <c r="B170" s="55"/>
      <c r="C170" s="55"/>
      <c r="D170" s="84"/>
      <c r="E170" s="55"/>
      <c r="F170" s="8">
        <v>7200000</v>
      </c>
      <c r="G170" s="8"/>
      <c r="H170" s="8">
        <v>7148692.3</v>
      </c>
      <c r="I170" s="54"/>
      <c r="J170" s="50"/>
      <c r="K170" s="50"/>
      <c r="L170" s="50"/>
      <c r="M170" s="54"/>
      <c r="N170" s="54"/>
      <c r="O170" s="53"/>
      <c r="P170" s="53"/>
      <c r="S170" s="79"/>
    </row>
    <row r="171" spans="2:19" s="52" customFormat="1" ht="12.75">
      <c r="B171" s="55"/>
      <c r="C171" s="55"/>
      <c r="D171" s="84"/>
      <c r="E171" s="55"/>
      <c r="F171" s="8"/>
      <c r="G171" s="8"/>
      <c r="I171" s="54"/>
      <c r="J171" s="50"/>
      <c r="K171" s="50"/>
      <c r="L171" s="50"/>
      <c r="M171" s="54"/>
      <c r="N171" s="54"/>
      <c r="O171" s="53"/>
      <c r="P171" s="53"/>
      <c r="S171" s="79"/>
    </row>
    <row r="172" spans="2:19" s="52" customFormat="1" ht="12.75">
      <c r="B172" s="55"/>
      <c r="C172" s="55"/>
      <c r="D172" s="84"/>
      <c r="E172" s="55"/>
      <c r="F172" s="8"/>
      <c r="G172" s="8"/>
      <c r="H172" s="8">
        <f>SUM(H168:H170)</f>
        <v>14488198.3</v>
      </c>
      <c r="I172" s="54">
        <f>H172/$H$295</f>
        <v>0.055625654406945266</v>
      </c>
      <c r="J172" s="50"/>
      <c r="K172" s="50"/>
      <c r="L172" s="50"/>
      <c r="M172" s="54"/>
      <c r="N172" s="54"/>
      <c r="O172" s="53"/>
      <c r="P172" s="53"/>
      <c r="S172" s="79"/>
    </row>
    <row r="173" spans="1:19" s="52" customFormat="1" ht="12.75">
      <c r="A173" s="55"/>
      <c r="B173" s="55"/>
      <c r="C173" s="55"/>
      <c r="D173" s="84"/>
      <c r="E173" s="55"/>
      <c r="F173" s="51"/>
      <c r="G173" s="51"/>
      <c r="H173" s="51"/>
      <c r="I173" s="54"/>
      <c r="J173" s="50"/>
      <c r="K173" s="50"/>
      <c r="L173" s="50"/>
      <c r="M173" s="54"/>
      <c r="N173" s="54"/>
      <c r="O173" s="53"/>
      <c r="P173" s="53"/>
      <c r="S173" s="79"/>
    </row>
    <row r="174" spans="1:19" s="52" customFormat="1" ht="12.75">
      <c r="A174" s="80" t="str">
        <f>"Government Owned - "&amp;TEXT((H180)/$H$295,"##0.00%")</f>
        <v>Government Owned - 3.39%</v>
      </c>
      <c r="B174" s="55"/>
      <c r="C174" s="55"/>
      <c r="D174" s="84"/>
      <c r="E174" s="55"/>
      <c r="F174" s="51"/>
      <c r="G174" s="51"/>
      <c r="H174" s="51"/>
      <c r="I174" s="54"/>
      <c r="J174" s="50"/>
      <c r="K174" s="50"/>
      <c r="L174" s="50"/>
      <c r="M174" s="54"/>
      <c r="N174" s="54"/>
      <c r="O174" s="53"/>
      <c r="P174" s="53"/>
      <c r="S174" s="79"/>
    </row>
    <row r="175" spans="1:19" s="52" customFormat="1" ht="12.75">
      <c r="A175" s="52" t="s">
        <v>168</v>
      </c>
      <c r="B175" s="55"/>
      <c r="C175" s="55"/>
      <c r="D175" s="84"/>
      <c r="E175" s="55"/>
      <c r="F175" s="51">
        <v>2380000</v>
      </c>
      <c r="G175" s="51"/>
      <c r="H175" s="51">
        <v>1997457</v>
      </c>
      <c r="I175" s="54"/>
      <c r="J175" s="50"/>
      <c r="K175" s="50"/>
      <c r="L175" s="50"/>
      <c r="M175" s="54"/>
      <c r="N175" s="54"/>
      <c r="O175" s="53"/>
      <c r="P175" s="53"/>
      <c r="S175" s="79"/>
    </row>
    <row r="176" spans="1:19" s="52" customFormat="1" ht="12.75">
      <c r="A176" s="52" t="s">
        <v>167</v>
      </c>
      <c r="B176" s="55"/>
      <c r="C176" s="55"/>
      <c r="D176" s="84"/>
      <c r="E176" s="55"/>
      <c r="F176" s="51">
        <v>2800000</v>
      </c>
      <c r="G176" s="51"/>
      <c r="H176" s="51">
        <v>2849868</v>
      </c>
      <c r="I176" s="54"/>
      <c r="J176" s="50"/>
      <c r="K176" s="50"/>
      <c r="L176" s="50"/>
      <c r="M176" s="54"/>
      <c r="N176" s="54"/>
      <c r="O176" s="53"/>
      <c r="P176" s="53"/>
      <c r="S176" s="79"/>
    </row>
    <row r="177" spans="1:19" s="52" customFormat="1" ht="12.75">
      <c r="A177" s="52" t="s">
        <v>166</v>
      </c>
      <c r="B177" s="55"/>
      <c r="C177" s="55"/>
      <c r="D177" s="84"/>
      <c r="E177" s="55"/>
      <c r="F177" s="51">
        <v>2500000</v>
      </c>
      <c r="G177" s="51"/>
      <c r="H177" s="51">
        <v>2425375</v>
      </c>
      <c r="I177" s="54"/>
      <c r="J177" s="50"/>
      <c r="K177" s="50"/>
      <c r="L177" s="50"/>
      <c r="M177" s="54"/>
      <c r="N177" s="54"/>
      <c r="O177" s="53"/>
      <c r="P177" s="53"/>
      <c r="S177" s="79"/>
    </row>
    <row r="178" spans="1:19" s="52" customFormat="1" ht="12.75">
      <c r="A178" s="52" t="s">
        <v>165</v>
      </c>
      <c r="B178" s="55"/>
      <c r="C178" s="55"/>
      <c r="D178" s="84"/>
      <c r="E178" s="55"/>
      <c r="F178" s="51">
        <v>1500000</v>
      </c>
      <c r="G178" s="51"/>
      <c r="H178" s="51">
        <v>1549800</v>
      </c>
      <c r="I178" s="54"/>
      <c r="J178" s="50"/>
      <c r="K178" s="50"/>
      <c r="L178" s="50"/>
      <c r="M178" s="54"/>
      <c r="N178" s="54"/>
      <c r="O178" s="53"/>
      <c r="P178" s="53"/>
      <c r="S178" s="79"/>
    </row>
    <row r="179" spans="2:19" s="52" customFormat="1" ht="12.75">
      <c r="B179" s="55"/>
      <c r="C179" s="55"/>
      <c r="D179" s="84"/>
      <c r="E179" s="55"/>
      <c r="F179" s="51"/>
      <c r="G179" s="51"/>
      <c r="I179" s="54"/>
      <c r="J179" s="50"/>
      <c r="K179" s="50"/>
      <c r="L179" s="50"/>
      <c r="M179" s="54"/>
      <c r="N179" s="54"/>
      <c r="O179" s="53"/>
      <c r="P179" s="53"/>
      <c r="S179" s="79"/>
    </row>
    <row r="180" spans="2:19" s="52" customFormat="1" ht="12.75">
      <c r="B180" s="55"/>
      <c r="C180" s="55"/>
      <c r="D180" s="84"/>
      <c r="E180" s="55"/>
      <c r="F180" s="51"/>
      <c r="G180" s="51"/>
      <c r="H180" s="51">
        <f>SUM(H175:H178)</f>
        <v>8822500</v>
      </c>
      <c r="I180" s="54">
        <f>H180/$H$295</f>
        <v>0.033872903023785546</v>
      </c>
      <c r="J180" s="50"/>
      <c r="K180" s="50"/>
      <c r="L180" s="50"/>
      <c r="M180" s="54"/>
      <c r="N180" s="54"/>
      <c r="O180" s="53"/>
      <c r="P180" s="53"/>
      <c r="S180" s="79"/>
    </row>
    <row r="181" spans="1:19" s="52" customFormat="1" ht="12.75">
      <c r="A181" s="55"/>
      <c r="B181" s="55"/>
      <c r="C181" s="55"/>
      <c r="D181" s="84"/>
      <c r="E181" s="55"/>
      <c r="F181" s="51"/>
      <c r="G181" s="51"/>
      <c r="H181" s="51"/>
      <c r="I181" s="54"/>
      <c r="J181" s="50"/>
      <c r="K181" s="50"/>
      <c r="L181" s="50"/>
      <c r="M181" s="54"/>
      <c r="N181" s="54"/>
      <c r="O181" s="53"/>
      <c r="P181" s="53"/>
      <c r="S181" s="79"/>
    </row>
    <row r="182" spans="1:19" s="52" customFormat="1" ht="12.75">
      <c r="A182" s="80" t="str">
        <f>"Government Sponsored - "&amp;TEXT((H183)/$H$295,"##0.00%")</f>
        <v>Government Sponsored - 1.08%</v>
      </c>
      <c r="B182" s="55"/>
      <c r="C182" s="55"/>
      <c r="D182" s="84"/>
      <c r="E182" s="55"/>
      <c r="F182" s="51"/>
      <c r="G182" s="51"/>
      <c r="H182" s="51"/>
      <c r="I182" s="54"/>
      <c r="J182" s="50"/>
      <c r="K182" s="50"/>
      <c r="L182" s="50"/>
      <c r="M182" s="54"/>
      <c r="N182" s="54"/>
      <c r="O182" s="53"/>
      <c r="P182" s="53"/>
      <c r="S182" s="79"/>
    </row>
    <row r="183" spans="1:19" s="52" customFormat="1" ht="12.75">
      <c r="A183" s="52" t="s">
        <v>164</v>
      </c>
      <c r="B183" s="55"/>
      <c r="C183" s="55"/>
      <c r="D183" s="84"/>
      <c r="E183" s="55"/>
      <c r="F183" s="51">
        <v>3000000</v>
      </c>
      <c r="G183" s="51"/>
      <c r="H183" s="51">
        <v>2809410</v>
      </c>
      <c r="I183" s="54">
        <f>H183/$H$295</f>
        <v>0.010786383959654672</v>
      </c>
      <c r="J183" s="50"/>
      <c r="K183" s="50"/>
      <c r="L183" s="50"/>
      <c r="M183" s="54"/>
      <c r="N183" s="54"/>
      <c r="O183" s="53"/>
      <c r="P183" s="53"/>
      <c r="S183" s="79"/>
    </row>
    <row r="184" spans="1:19" s="52" customFormat="1" ht="12.75">
      <c r="A184" s="55"/>
      <c r="B184" s="55"/>
      <c r="C184" s="55"/>
      <c r="D184" s="84"/>
      <c r="E184" s="55"/>
      <c r="F184" s="51"/>
      <c r="G184" s="51"/>
      <c r="H184" s="51"/>
      <c r="I184" s="54"/>
      <c r="J184" s="50"/>
      <c r="K184" s="50"/>
      <c r="L184" s="50"/>
      <c r="M184" s="54"/>
      <c r="N184" s="54"/>
      <c r="O184" s="53"/>
      <c r="P184" s="53"/>
      <c r="S184" s="79"/>
    </row>
    <row r="185" spans="1:19" s="52" customFormat="1" ht="12.75">
      <c r="A185" s="55"/>
      <c r="B185" s="55"/>
      <c r="C185" s="55"/>
      <c r="D185" s="84"/>
      <c r="E185" s="55"/>
      <c r="F185" s="51"/>
      <c r="G185" s="51"/>
      <c r="H185" s="51"/>
      <c r="I185" s="54"/>
      <c r="J185" s="50"/>
      <c r="K185" s="50"/>
      <c r="L185" s="50"/>
      <c r="M185" s="54"/>
      <c r="N185" s="54"/>
      <c r="O185" s="53"/>
      <c r="P185" s="53"/>
      <c r="S185" s="79"/>
    </row>
    <row r="186" spans="1:19" s="52" customFormat="1" ht="12.75">
      <c r="A186" s="80" t="str">
        <f>"Other Financial - "&amp;TEXT((H191)/$H$295,"##0.00%")</f>
        <v>Other Financial - 4.18%</v>
      </c>
      <c r="B186" s="80"/>
      <c r="C186" s="80"/>
      <c r="D186" s="91"/>
      <c r="E186" s="80"/>
      <c r="F186" s="51"/>
      <c r="G186" s="51"/>
      <c r="H186" s="51"/>
      <c r="I186" s="54"/>
      <c r="J186" s="50"/>
      <c r="K186" s="50"/>
      <c r="L186" s="50"/>
      <c r="M186" s="54"/>
      <c r="N186" s="54"/>
      <c r="O186" s="53"/>
      <c r="P186" s="53"/>
      <c r="S186" s="79"/>
    </row>
    <row r="187" spans="1:19" s="52" customFormat="1" ht="12.75">
      <c r="A187" s="55" t="s">
        <v>163</v>
      </c>
      <c r="B187" s="80"/>
      <c r="C187" s="80"/>
      <c r="D187" s="91"/>
      <c r="E187" s="80"/>
      <c r="F187" s="51">
        <v>3000000</v>
      </c>
      <c r="G187" s="51"/>
      <c r="H187" s="51">
        <v>2933349</v>
      </c>
      <c r="I187" s="54"/>
      <c r="J187" s="50"/>
      <c r="K187" s="50"/>
      <c r="L187" s="50"/>
      <c r="M187" s="54"/>
      <c r="N187" s="54"/>
      <c r="O187" s="53"/>
      <c r="P187" s="53"/>
      <c r="S187" s="79"/>
    </row>
    <row r="188" spans="1:19" s="52" customFormat="1" ht="12.75">
      <c r="A188" s="55" t="s">
        <v>162</v>
      </c>
      <c r="B188" s="80"/>
      <c r="C188" s="80"/>
      <c r="D188" s="91"/>
      <c r="E188" s="80"/>
      <c r="F188" s="51">
        <v>2500000</v>
      </c>
      <c r="G188" s="51"/>
      <c r="H188" s="51">
        <v>2276563</v>
      </c>
      <c r="I188" s="54"/>
      <c r="J188" s="50"/>
      <c r="K188" s="50"/>
      <c r="L188" s="50"/>
      <c r="M188" s="54"/>
      <c r="N188" s="54"/>
      <c r="O188" s="53"/>
      <c r="P188" s="53"/>
      <c r="S188" s="79"/>
    </row>
    <row r="189" spans="1:19" s="52" customFormat="1" ht="12.75">
      <c r="A189" s="55" t="s">
        <v>123</v>
      </c>
      <c r="B189" s="55"/>
      <c r="C189" s="55"/>
      <c r="D189" s="84"/>
      <c r="E189" s="55"/>
      <c r="F189" s="8">
        <v>5700000</v>
      </c>
      <c r="G189" s="8"/>
      <c r="H189" s="8">
        <v>5685323</v>
      </c>
      <c r="I189" s="54"/>
      <c r="J189" s="50"/>
      <c r="K189" s="50"/>
      <c r="L189" s="50"/>
      <c r="M189" s="54"/>
      <c r="N189" s="54"/>
      <c r="O189" s="53"/>
      <c r="P189" s="53"/>
      <c r="S189" s="79"/>
    </row>
    <row r="190" spans="1:19" s="52" customFormat="1" ht="12.75">
      <c r="A190" s="55"/>
      <c r="B190" s="55"/>
      <c r="C190" s="55"/>
      <c r="D190" s="84"/>
      <c r="E190" s="55"/>
      <c r="F190" s="8"/>
      <c r="G190" s="8"/>
      <c r="I190" s="54"/>
      <c r="J190" s="50"/>
      <c r="K190" s="50"/>
      <c r="L190" s="50"/>
      <c r="M190" s="54"/>
      <c r="N190" s="54"/>
      <c r="O190" s="53"/>
      <c r="P190" s="53"/>
      <c r="S190" s="79"/>
    </row>
    <row r="191" spans="1:19" s="52" customFormat="1" ht="12.75">
      <c r="A191" s="55"/>
      <c r="B191" s="55"/>
      <c r="C191" s="55"/>
      <c r="D191" s="84"/>
      <c r="E191" s="55"/>
      <c r="F191" s="8"/>
      <c r="G191" s="8"/>
      <c r="H191" s="8">
        <f>SUM(H187:H189)</f>
        <v>10895235</v>
      </c>
      <c r="I191" s="54">
        <f>H191/$H$295</f>
        <v>0.041830913978617636</v>
      </c>
      <c r="J191" s="50"/>
      <c r="K191" s="50"/>
      <c r="L191" s="50"/>
      <c r="M191" s="54"/>
      <c r="N191" s="54"/>
      <c r="O191" s="53"/>
      <c r="P191" s="53"/>
      <c r="S191" s="79"/>
    </row>
    <row r="192" spans="1:19" s="52" customFormat="1" ht="12.75">
      <c r="A192" s="55"/>
      <c r="B192" s="55"/>
      <c r="C192" s="55"/>
      <c r="D192" s="84"/>
      <c r="E192" s="55"/>
      <c r="F192" s="51"/>
      <c r="G192" s="51"/>
      <c r="H192" s="51"/>
      <c r="I192" s="54"/>
      <c r="J192" s="50"/>
      <c r="K192" s="50"/>
      <c r="L192" s="50"/>
      <c r="M192" s="54"/>
      <c r="N192" s="54"/>
      <c r="O192" s="53"/>
      <c r="P192" s="53"/>
      <c r="S192" s="79"/>
    </row>
    <row r="193" spans="1:19" s="52" customFormat="1" ht="12.75">
      <c r="A193" s="80" t="str">
        <f>"Real Estate - "&amp;TEXT((H197)/$H$295,"##0.00%")</f>
        <v>Real Estate - 1.32%</v>
      </c>
      <c r="B193" s="80"/>
      <c r="C193" s="80"/>
      <c r="D193" s="83"/>
      <c r="E193" s="80"/>
      <c r="F193" s="51"/>
      <c r="G193" s="51"/>
      <c r="H193" s="51"/>
      <c r="I193" s="54"/>
      <c r="J193" s="50"/>
      <c r="K193" s="50"/>
      <c r="L193" s="50"/>
      <c r="M193" s="54"/>
      <c r="N193" s="54"/>
      <c r="O193" s="53"/>
      <c r="P193" s="53"/>
      <c r="S193" s="79"/>
    </row>
    <row r="194" spans="1:19" s="52" customFormat="1" ht="12.75">
      <c r="A194" s="55" t="s">
        <v>77</v>
      </c>
      <c r="B194" s="55"/>
      <c r="C194" s="55"/>
      <c r="D194" s="84"/>
      <c r="E194" s="84"/>
      <c r="F194" s="8">
        <v>1000000</v>
      </c>
      <c r="G194" s="8"/>
      <c r="H194" s="8">
        <v>964360</v>
      </c>
      <c r="I194" s="54"/>
      <c r="J194" s="50"/>
      <c r="K194" s="50"/>
      <c r="L194" s="50"/>
      <c r="M194" s="54"/>
      <c r="N194" s="54"/>
      <c r="O194" s="53"/>
      <c r="P194" s="53"/>
      <c r="S194" s="79"/>
    </row>
    <row r="195" spans="1:19" s="52" customFormat="1" ht="12.75">
      <c r="A195" s="55" t="s">
        <v>78</v>
      </c>
      <c r="B195" s="55"/>
      <c r="C195" s="55"/>
      <c r="D195" s="84"/>
      <c r="E195" s="55"/>
      <c r="F195" s="8">
        <v>2500000</v>
      </c>
      <c r="G195" s="8"/>
      <c r="H195" s="8">
        <v>2479215</v>
      </c>
      <c r="I195" s="54"/>
      <c r="J195" s="50"/>
      <c r="K195" s="50"/>
      <c r="L195" s="50"/>
      <c r="M195" s="54"/>
      <c r="N195" s="54"/>
      <c r="O195" s="53"/>
      <c r="P195" s="53"/>
      <c r="S195" s="79"/>
    </row>
    <row r="196" spans="1:19" s="52" customFormat="1" ht="12.75">
      <c r="A196" s="55"/>
      <c r="B196" s="55"/>
      <c r="C196" s="55"/>
      <c r="D196" s="84"/>
      <c r="E196" s="55"/>
      <c r="F196" s="51"/>
      <c r="G196" s="51"/>
      <c r="H196" s="51"/>
      <c r="I196" s="54"/>
      <c r="J196" s="50"/>
      <c r="K196" s="50"/>
      <c r="L196" s="50"/>
      <c r="M196" s="54"/>
      <c r="N196" s="54"/>
      <c r="O196" s="53"/>
      <c r="P196" s="53"/>
      <c r="S196" s="79"/>
    </row>
    <row r="197" spans="1:19" s="52" customFormat="1" ht="12.75">
      <c r="A197" s="55"/>
      <c r="B197" s="55"/>
      <c r="C197" s="55"/>
      <c r="D197" s="84"/>
      <c r="E197" s="55"/>
      <c r="F197" s="51"/>
      <c r="G197" s="51"/>
      <c r="H197" s="51">
        <f>SUM(H194:H196)</f>
        <v>3443575</v>
      </c>
      <c r="I197" s="54">
        <f>H197/$H$295</f>
        <v>0.013221182434699044</v>
      </c>
      <c r="J197" s="50"/>
      <c r="K197" s="50"/>
      <c r="L197" s="50"/>
      <c r="M197" s="54"/>
      <c r="N197" s="54"/>
      <c r="O197" s="53"/>
      <c r="P197" s="53"/>
      <c r="S197" s="79"/>
    </row>
    <row r="198" spans="1:19" s="52" customFormat="1" ht="12.75">
      <c r="A198" s="55"/>
      <c r="B198" s="55"/>
      <c r="C198" s="55"/>
      <c r="D198" s="84"/>
      <c r="E198" s="55"/>
      <c r="F198" s="51"/>
      <c r="G198" s="51"/>
      <c r="H198" s="51"/>
      <c r="I198" s="54"/>
      <c r="J198" s="50"/>
      <c r="K198" s="50"/>
      <c r="L198" s="50"/>
      <c r="M198" s="54"/>
      <c r="N198" s="54"/>
      <c r="O198" s="53"/>
      <c r="P198" s="53"/>
      <c r="S198" s="79"/>
    </row>
    <row r="199" spans="1:19" s="52" customFormat="1" ht="12.75">
      <c r="A199" s="80" t="str">
        <f>"Sovereigns - "&amp;TEXT((H227)/$H$295,"##0.00%")</f>
        <v>Sovereigns - 23.96%</v>
      </c>
      <c r="B199" s="80"/>
      <c r="C199" s="80"/>
      <c r="D199" s="83"/>
      <c r="E199" s="80"/>
      <c r="F199" s="51"/>
      <c r="G199" s="51"/>
      <c r="H199" s="51"/>
      <c r="I199" s="54"/>
      <c r="J199" s="50"/>
      <c r="K199" s="50"/>
      <c r="L199" s="50"/>
      <c r="M199" s="54"/>
      <c r="N199" s="54"/>
      <c r="O199" s="53"/>
      <c r="P199" s="53"/>
      <c r="S199" s="79"/>
    </row>
    <row r="200" spans="1:19" s="52" customFormat="1" ht="12.75">
      <c r="A200" s="52" t="s">
        <v>91</v>
      </c>
      <c r="B200" s="55"/>
      <c r="C200" s="55"/>
      <c r="D200" s="84"/>
      <c r="E200" s="55"/>
      <c r="F200" s="8">
        <v>1500000</v>
      </c>
      <c r="G200" s="8"/>
      <c r="H200" s="8">
        <v>1417500</v>
      </c>
      <c r="I200" s="54"/>
      <c r="J200" s="50"/>
      <c r="K200" s="50"/>
      <c r="L200" s="50"/>
      <c r="M200" s="54"/>
      <c r="N200" s="54"/>
      <c r="O200" s="53"/>
      <c r="P200" s="53"/>
      <c r="S200" s="79"/>
    </row>
    <row r="201" spans="1:19" s="52" customFormat="1" ht="12.75">
      <c r="A201" s="52" t="s">
        <v>64</v>
      </c>
      <c r="B201" s="55"/>
      <c r="C201" s="55"/>
      <c r="D201" s="84"/>
      <c r="E201" s="55"/>
      <c r="F201" s="8">
        <v>1500000</v>
      </c>
      <c r="G201" s="8"/>
      <c r="H201" s="8">
        <v>1496550</v>
      </c>
      <c r="I201" s="54"/>
      <c r="J201" s="50"/>
      <c r="K201" s="50"/>
      <c r="L201" s="50"/>
      <c r="M201" s="54"/>
      <c r="N201" s="54"/>
      <c r="O201" s="53"/>
      <c r="P201" s="53"/>
      <c r="S201" s="79"/>
    </row>
    <row r="202" spans="1:19" s="52" customFormat="1" ht="12.75">
      <c r="A202" s="52" t="s">
        <v>69</v>
      </c>
      <c r="B202" s="55"/>
      <c r="C202" s="55"/>
      <c r="D202" s="84"/>
      <c r="E202" s="55"/>
      <c r="F202" s="8">
        <v>3500000</v>
      </c>
      <c r="G202" s="8"/>
      <c r="H202" s="8">
        <v>3498891</v>
      </c>
      <c r="I202" s="54"/>
      <c r="J202" s="50"/>
      <c r="K202" s="50"/>
      <c r="L202" s="50"/>
      <c r="M202" s="54"/>
      <c r="N202" s="54"/>
      <c r="O202" s="53"/>
      <c r="P202" s="53"/>
      <c r="S202" s="79"/>
    </row>
    <row r="203" spans="1:19" s="52" customFormat="1" ht="12.75">
      <c r="A203" s="52" t="s">
        <v>178</v>
      </c>
      <c r="B203" s="55"/>
      <c r="C203" s="55"/>
      <c r="D203" s="84"/>
      <c r="E203" s="55"/>
      <c r="F203" s="8">
        <v>1000000</v>
      </c>
      <c r="G203" s="8"/>
      <c r="H203" s="8">
        <v>911500</v>
      </c>
      <c r="I203" s="54"/>
      <c r="J203" s="50"/>
      <c r="K203" s="50"/>
      <c r="L203" s="50"/>
      <c r="M203" s="54"/>
      <c r="N203" s="54"/>
      <c r="O203" s="53"/>
      <c r="P203" s="53"/>
      <c r="S203" s="79"/>
    </row>
    <row r="204" spans="1:19" s="52" customFormat="1" ht="12.75">
      <c r="A204" s="55" t="s">
        <v>55</v>
      </c>
      <c r="B204" s="55"/>
      <c r="C204" s="55"/>
      <c r="D204" s="84"/>
      <c r="E204" s="55"/>
      <c r="F204" s="8">
        <v>2000000</v>
      </c>
      <c r="G204" s="8"/>
      <c r="H204" s="8">
        <v>1984090</v>
      </c>
      <c r="I204" s="54"/>
      <c r="J204" s="50"/>
      <c r="K204" s="50"/>
      <c r="L204" s="50"/>
      <c r="M204" s="54"/>
      <c r="N204" s="54"/>
      <c r="O204" s="53"/>
      <c r="P204" s="53"/>
      <c r="S204" s="79"/>
    </row>
    <row r="205" spans="1:19" s="52" customFormat="1" ht="12.75">
      <c r="A205" s="55" t="s">
        <v>97</v>
      </c>
      <c r="B205" s="55"/>
      <c r="C205" s="55"/>
      <c r="D205" s="84"/>
      <c r="E205" s="55"/>
      <c r="F205" s="8">
        <v>1000000</v>
      </c>
      <c r="G205" s="8"/>
      <c r="H205" s="8">
        <v>915350</v>
      </c>
      <c r="I205" s="54"/>
      <c r="J205" s="50"/>
      <c r="K205" s="50"/>
      <c r="L205" s="50"/>
      <c r="M205" s="54"/>
      <c r="N205" s="54"/>
      <c r="O205" s="53"/>
      <c r="P205" s="53"/>
      <c r="S205" s="79"/>
    </row>
    <row r="206" spans="1:19" s="52" customFormat="1" ht="12.75">
      <c r="A206" s="55" t="s">
        <v>111</v>
      </c>
      <c r="B206" s="55"/>
      <c r="C206" s="55"/>
      <c r="D206" s="84"/>
      <c r="E206" s="55"/>
      <c r="F206" s="8">
        <v>2500000</v>
      </c>
      <c r="G206" s="8"/>
      <c r="H206" s="8">
        <v>2612288</v>
      </c>
      <c r="I206" s="54"/>
      <c r="J206" s="50"/>
      <c r="K206" s="50"/>
      <c r="L206" s="50"/>
      <c r="M206" s="54"/>
      <c r="N206" s="54"/>
      <c r="O206" s="53"/>
      <c r="P206" s="53"/>
      <c r="S206" s="79"/>
    </row>
    <row r="207" spans="1:19" s="52" customFormat="1" ht="12.75">
      <c r="A207" s="55" t="s">
        <v>161</v>
      </c>
      <c r="B207" s="55"/>
      <c r="C207" s="55"/>
      <c r="D207" s="84"/>
      <c r="E207" s="55"/>
      <c r="F207" s="8">
        <v>2400000</v>
      </c>
      <c r="G207" s="8"/>
      <c r="H207" s="8">
        <v>2338440</v>
      </c>
      <c r="I207" s="54"/>
      <c r="J207" s="50"/>
      <c r="K207" s="50"/>
      <c r="L207" s="50"/>
      <c r="M207" s="54"/>
      <c r="N207" s="54"/>
      <c r="O207" s="53"/>
      <c r="P207" s="53"/>
      <c r="S207" s="79"/>
    </row>
    <row r="208" spans="1:19" s="52" customFormat="1" ht="12.75">
      <c r="A208" s="55" t="s">
        <v>160</v>
      </c>
      <c r="B208" s="55"/>
      <c r="C208" s="55"/>
      <c r="D208" s="84"/>
      <c r="E208" s="55"/>
      <c r="F208" s="8">
        <v>1500000</v>
      </c>
      <c r="G208" s="8"/>
      <c r="H208" s="8">
        <v>1584372</v>
      </c>
      <c r="I208" s="54"/>
      <c r="J208" s="50"/>
      <c r="K208" s="50"/>
      <c r="L208" s="50"/>
      <c r="M208" s="54"/>
      <c r="N208" s="54"/>
      <c r="O208" s="53"/>
      <c r="P208" s="53"/>
      <c r="S208" s="79"/>
    </row>
    <row r="209" spans="1:19" s="52" customFormat="1" ht="12.75">
      <c r="A209" s="55" t="s">
        <v>92</v>
      </c>
      <c r="B209" s="55"/>
      <c r="C209" s="55"/>
      <c r="D209" s="84"/>
      <c r="E209" s="55"/>
      <c r="F209" s="8">
        <v>1000000</v>
      </c>
      <c r="G209" s="8"/>
      <c r="H209" s="8">
        <v>970600</v>
      </c>
      <c r="I209" s="54"/>
      <c r="J209" s="50"/>
      <c r="K209" s="50"/>
      <c r="L209" s="50"/>
      <c r="M209" s="54"/>
      <c r="N209" s="54"/>
      <c r="O209" s="53"/>
      <c r="P209" s="53"/>
      <c r="S209" s="79"/>
    </row>
    <row r="210" spans="1:19" s="52" customFormat="1" ht="12.75">
      <c r="A210" s="52" t="s">
        <v>107</v>
      </c>
      <c r="B210" s="55"/>
      <c r="C210" s="55"/>
      <c r="D210" s="84"/>
      <c r="E210" s="55"/>
      <c r="F210" s="8">
        <v>3800000</v>
      </c>
      <c r="G210" s="8"/>
      <c r="H210" s="8">
        <v>3773400</v>
      </c>
      <c r="I210" s="54"/>
      <c r="J210" s="50"/>
      <c r="K210" s="50"/>
      <c r="L210" s="50"/>
      <c r="M210" s="54"/>
      <c r="N210" s="54"/>
      <c r="O210" s="53"/>
      <c r="P210" s="53"/>
      <c r="S210" s="79"/>
    </row>
    <row r="211" spans="1:19" s="52" customFormat="1" ht="12.75">
      <c r="A211" s="52" t="s">
        <v>106</v>
      </c>
      <c r="B211" s="55"/>
      <c r="C211" s="55"/>
      <c r="D211" s="84"/>
      <c r="E211" s="55"/>
      <c r="F211" s="8">
        <v>5000000</v>
      </c>
      <c r="G211" s="8"/>
      <c r="H211" s="8">
        <v>4879302</v>
      </c>
      <c r="I211" s="54"/>
      <c r="J211" s="50"/>
      <c r="K211" s="50"/>
      <c r="L211" s="50"/>
      <c r="M211" s="54"/>
      <c r="N211" s="54"/>
      <c r="O211" s="53"/>
      <c r="P211" s="53"/>
      <c r="S211" s="79"/>
    </row>
    <row r="212" spans="1:19" s="52" customFormat="1" ht="12.75">
      <c r="A212" s="52" t="s">
        <v>106</v>
      </c>
      <c r="B212" s="55"/>
      <c r="C212" s="55"/>
      <c r="D212" s="84"/>
      <c r="E212" s="55"/>
      <c r="F212" s="8">
        <v>1685000</v>
      </c>
      <c r="G212" s="8"/>
      <c r="H212" s="8">
        <v>1644325</v>
      </c>
      <c r="I212" s="54"/>
      <c r="J212" s="50"/>
      <c r="K212" s="50"/>
      <c r="L212" s="50"/>
      <c r="M212" s="54"/>
      <c r="N212" s="54"/>
      <c r="O212" s="53"/>
      <c r="P212" s="53"/>
      <c r="S212" s="79"/>
    </row>
    <row r="213" spans="1:19" s="52" customFormat="1" ht="12.75">
      <c r="A213" s="52" t="s">
        <v>120</v>
      </c>
      <c r="B213" s="55"/>
      <c r="C213" s="55"/>
      <c r="D213" s="84"/>
      <c r="E213" s="55"/>
      <c r="F213" s="8">
        <v>2500000</v>
      </c>
      <c r="G213" s="8"/>
      <c r="H213" s="8">
        <v>2415591</v>
      </c>
      <c r="I213" s="54"/>
      <c r="J213" s="50"/>
      <c r="K213" s="50"/>
      <c r="L213" s="50"/>
      <c r="M213" s="54"/>
      <c r="N213" s="54"/>
      <c r="O213" s="53"/>
      <c r="P213" s="53"/>
      <c r="S213" s="79"/>
    </row>
    <row r="214" spans="1:19" s="52" customFormat="1" ht="12.75">
      <c r="A214" s="52" t="s">
        <v>108</v>
      </c>
      <c r="B214" s="55"/>
      <c r="C214" s="55"/>
      <c r="D214" s="84"/>
      <c r="E214" s="55"/>
      <c r="F214" s="8">
        <v>1500000</v>
      </c>
      <c r="G214" s="8"/>
      <c r="H214" s="8">
        <v>1452947</v>
      </c>
      <c r="I214" s="54"/>
      <c r="J214" s="50"/>
      <c r="K214" s="50"/>
      <c r="L214" s="50"/>
      <c r="M214" s="54"/>
      <c r="N214" s="54"/>
      <c r="O214" s="53"/>
      <c r="P214" s="53"/>
      <c r="S214" s="79"/>
    </row>
    <row r="215" spans="1:19" s="52" customFormat="1" ht="12.75">
      <c r="A215" s="52" t="s">
        <v>109</v>
      </c>
      <c r="B215" s="55"/>
      <c r="C215" s="55"/>
      <c r="D215" s="84"/>
      <c r="E215" s="55"/>
      <c r="F215" s="8">
        <v>2000000</v>
      </c>
      <c r="G215" s="8"/>
      <c r="H215" s="8">
        <v>1957812</v>
      </c>
      <c r="I215" s="54"/>
      <c r="J215" s="50"/>
      <c r="K215" s="50"/>
      <c r="L215" s="50"/>
      <c r="M215" s="54"/>
      <c r="N215" s="54"/>
      <c r="O215" s="53"/>
      <c r="P215" s="53"/>
      <c r="S215" s="79"/>
    </row>
    <row r="216" spans="1:19" s="52" customFormat="1" ht="12.75">
      <c r="A216" s="55" t="s">
        <v>56</v>
      </c>
      <c r="B216" s="55"/>
      <c r="C216" s="55"/>
      <c r="D216" s="84"/>
      <c r="E216" s="55"/>
      <c r="F216" s="8">
        <v>3000000</v>
      </c>
      <c r="G216" s="8"/>
      <c r="H216" s="8">
        <v>2985504</v>
      </c>
      <c r="I216" s="54"/>
      <c r="J216" s="50"/>
      <c r="K216" s="50"/>
      <c r="L216" s="50"/>
      <c r="M216" s="54"/>
      <c r="N216" s="54"/>
      <c r="O216" s="53"/>
      <c r="P216" s="53"/>
      <c r="S216" s="79"/>
    </row>
    <row r="217" spans="1:19" s="52" customFormat="1" ht="12.75">
      <c r="A217" s="55" t="s">
        <v>95</v>
      </c>
      <c r="B217" s="55"/>
      <c r="C217" s="55"/>
      <c r="D217" s="84"/>
      <c r="E217" s="55"/>
      <c r="F217" s="8">
        <v>4000000</v>
      </c>
      <c r="G217" s="8"/>
      <c r="H217" s="8">
        <v>3987936</v>
      </c>
      <c r="I217" s="54"/>
      <c r="J217" s="50"/>
      <c r="K217" s="50"/>
      <c r="L217" s="50"/>
      <c r="M217" s="54"/>
      <c r="N217" s="54"/>
      <c r="O217" s="53"/>
      <c r="P217" s="53"/>
      <c r="S217" s="79"/>
    </row>
    <row r="218" spans="1:19" s="52" customFormat="1" ht="12.75">
      <c r="A218" s="52" t="s">
        <v>93</v>
      </c>
      <c r="B218" s="55"/>
      <c r="C218" s="55"/>
      <c r="D218" s="84"/>
      <c r="E218" s="55"/>
      <c r="F218" s="8">
        <v>1500000</v>
      </c>
      <c r="G218" s="8"/>
      <c r="H218" s="8">
        <v>1478178</v>
      </c>
      <c r="I218" s="54"/>
      <c r="J218" s="50"/>
      <c r="K218" s="50"/>
      <c r="L218" s="50"/>
      <c r="M218" s="54"/>
      <c r="N218" s="54"/>
      <c r="O218" s="53"/>
      <c r="P218" s="53"/>
      <c r="S218" s="79"/>
    </row>
    <row r="219" spans="1:19" s="52" customFormat="1" ht="12.75">
      <c r="A219" s="52" t="s">
        <v>94</v>
      </c>
      <c r="B219" s="55"/>
      <c r="C219" s="55"/>
      <c r="D219" s="84"/>
      <c r="E219" s="55"/>
      <c r="F219" s="8">
        <v>2500000</v>
      </c>
      <c r="G219" s="8"/>
      <c r="H219" s="8">
        <v>2512620</v>
      </c>
      <c r="I219" s="54"/>
      <c r="J219" s="50"/>
      <c r="K219" s="50"/>
      <c r="L219" s="50"/>
      <c r="M219" s="54"/>
      <c r="N219" s="54"/>
      <c r="O219" s="53"/>
      <c r="P219" s="53"/>
      <c r="S219" s="79"/>
    </row>
    <row r="220" spans="1:19" s="52" customFormat="1" ht="12.75">
      <c r="A220" s="52" t="s">
        <v>121</v>
      </c>
      <c r="B220" s="55"/>
      <c r="C220" s="55"/>
      <c r="D220" s="84"/>
      <c r="E220" s="55"/>
      <c r="F220" s="8">
        <v>3800000</v>
      </c>
      <c r="G220" s="8"/>
      <c r="H220" s="8">
        <v>3671698</v>
      </c>
      <c r="I220" s="54"/>
      <c r="J220" s="50"/>
      <c r="K220" s="50"/>
      <c r="L220" s="50"/>
      <c r="M220" s="54"/>
      <c r="N220" s="54"/>
      <c r="O220" s="53"/>
      <c r="P220" s="53"/>
      <c r="S220" s="79"/>
    </row>
    <row r="221" spans="1:19" s="52" customFormat="1" ht="12.75">
      <c r="A221" s="52" t="s">
        <v>122</v>
      </c>
      <c r="B221" s="55"/>
      <c r="C221" s="55"/>
      <c r="D221" s="84"/>
      <c r="E221" s="55"/>
      <c r="F221" s="8">
        <v>3500000</v>
      </c>
      <c r="G221" s="8"/>
      <c r="H221" s="8">
        <v>3475500</v>
      </c>
      <c r="I221" s="54"/>
      <c r="J221" s="50"/>
      <c r="K221" s="50"/>
      <c r="L221" s="50"/>
      <c r="M221" s="54"/>
      <c r="N221" s="54"/>
      <c r="O221" s="53"/>
      <c r="P221" s="53"/>
      <c r="S221" s="79"/>
    </row>
    <row r="222" spans="1:19" s="52" customFormat="1" ht="12.75">
      <c r="A222" s="52" t="s">
        <v>159</v>
      </c>
      <c r="B222" s="55"/>
      <c r="C222" s="55"/>
      <c r="D222" s="84"/>
      <c r="E222" s="55"/>
      <c r="F222" s="8">
        <v>2500000</v>
      </c>
      <c r="G222" s="8"/>
      <c r="H222" s="8">
        <v>2443125</v>
      </c>
      <c r="I222" s="54"/>
      <c r="J222" s="50"/>
      <c r="K222" s="50"/>
      <c r="L222" s="50"/>
      <c r="M222" s="54"/>
      <c r="N222" s="54"/>
      <c r="O222" s="53"/>
      <c r="P222" s="53"/>
      <c r="S222" s="79"/>
    </row>
    <row r="223" spans="1:19" s="52" customFormat="1" ht="12.75">
      <c r="A223" s="55" t="s">
        <v>83</v>
      </c>
      <c r="B223" s="55"/>
      <c r="C223" s="55"/>
      <c r="D223" s="84"/>
      <c r="E223" s="55"/>
      <c r="F223" s="8">
        <v>2800000</v>
      </c>
      <c r="G223" s="8"/>
      <c r="H223" s="8">
        <v>2772941</v>
      </c>
      <c r="I223" s="54"/>
      <c r="J223" s="50"/>
      <c r="K223" s="50"/>
      <c r="L223" s="50"/>
      <c r="M223" s="54"/>
      <c r="N223" s="54"/>
      <c r="O223" s="53"/>
      <c r="P223" s="53"/>
      <c r="S223" s="79"/>
    </row>
    <row r="224" spans="1:19" s="52" customFormat="1" ht="12.75">
      <c r="A224" s="55" t="s">
        <v>156</v>
      </c>
      <c r="B224" s="55"/>
      <c r="C224" s="55"/>
      <c r="D224" s="84"/>
      <c r="E224" s="55"/>
      <c r="F224" s="8">
        <v>1500000</v>
      </c>
      <c r="G224" s="8"/>
      <c r="H224" s="8">
        <v>1350027</v>
      </c>
      <c r="I224" s="54"/>
      <c r="J224" s="50"/>
      <c r="K224" s="50"/>
      <c r="L224" s="50"/>
      <c r="M224" s="54"/>
      <c r="N224" s="54"/>
      <c r="O224" s="53"/>
      <c r="P224" s="53"/>
      <c r="S224" s="79"/>
    </row>
    <row r="225" spans="1:19" s="52" customFormat="1" ht="12.75">
      <c r="A225" s="52" t="s">
        <v>67</v>
      </c>
      <c r="B225" s="55"/>
      <c r="C225" s="55"/>
      <c r="D225" s="84"/>
      <c r="E225" s="55"/>
      <c r="F225" s="8">
        <v>4000000</v>
      </c>
      <c r="G225" s="8"/>
      <c r="H225" s="8">
        <v>3875660</v>
      </c>
      <c r="I225" s="54"/>
      <c r="J225" s="50"/>
      <c r="K225" s="50"/>
      <c r="L225" s="50"/>
      <c r="M225" s="54"/>
      <c r="N225" s="54"/>
      <c r="O225" s="53"/>
      <c r="P225" s="53"/>
      <c r="S225" s="79"/>
    </row>
    <row r="226" spans="1:19" s="52" customFormat="1" ht="12.75">
      <c r="A226" s="55"/>
      <c r="B226" s="55"/>
      <c r="C226" s="55"/>
      <c r="D226" s="84"/>
      <c r="E226" s="55"/>
      <c r="F226" s="51"/>
      <c r="G226" s="51"/>
      <c r="H226" s="51"/>
      <c r="I226" s="54"/>
      <c r="J226" s="50"/>
      <c r="K226" s="50"/>
      <c r="L226" s="50"/>
      <c r="M226" s="54"/>
      <c r="N226" s="54"/>
      <c r="O226" s="53"/>
      <c r="P226" s="53"/>
      <c r="S226" s="79"/>
    </row>
    <row r="227" spans="1:19" s="52" customFormat="1" ht="12.75">
      <c r="A227" s="55"/>
      <c r="B227" s="55"/>
      <c r="C227" s="55"/>
      <c r="D227" s="84"/>
      <c r="E227" s="55"/>
      <c r="F227" s="51"/>
      <c r="G227" s="51"/>
      <c r="H227" s="51">
        <f>SUM(H200:H226)</f>
        <v>62406147</v>
      </c>
      <c r="I227" s="54">
        <f>H227/$H$295</f>
        <v>0.23960072149834005</v>
      </c>
      <c r="J227" s="50"/>
      <c r="K227" s="50"/>
      <c r="L227" s="50"/>
      <c r="M227" s="54"/>
      <c r="N227" s="54"/>
      <c r="O227" s="53"/>
      <c r="P227" s="53"/>
      <c r="S227" s="79"/>
    </row>
    <row r="228" spans="1:19" s="52" customFormat="1" ht="12.75">
      <c r="A228" s="55"/>
      <c r="B228" s="55"/>
      <c r="C228" s="55"/>
      <c r="D228" s="84"/>
      <c r="E228" s="55"/>
      <c r="F228" s="51"/>
      <c r="G228" s="51"/>
      <c r="H228" s="51"/>
      <c r="I228" s="54"/>
      <c r="J228" s="50"/>
      <c r="K228" s="50"/>
      <c r="L228" s="50"/>
      <c r="M228" s="54"/>
      <c r="N228" s="54"/>
      <c r="O228" s="53"/>
      <c r="P228" s="53"/>
      <c r="S228" s="79"/>
    </row>
    <row r="229" spans="1:19" s="52" customFormat="1" ht="12.75">
      <c r="A229" s="80" t="str">
        <f>"Supranationals - "&amp;TEXT((H230)/$H$295,"##0.00%")</f>
        <v>Supranationals - 2.29%</v>
      </c>
      <c r="B229" s="80"/>
      <c r="C229" s="80"/>
      <c r="D229" s="83"/>
      <c r="E229" s="80"/>
      <c r="F229" s="51"/>
      <c r="G229" s="51"/>
      <c r="H229" s="51"/>
      <c r="I229" s="54"/>
      <c r="J229" s="50"/>
      <c r="K229" s="50"/>
      <c r="L229" s="50"/>
      <c r="M229" s="54"/>
      <c r="N229" s="54"/>
      <c r="O229" s="53"/>
      <c r="P229" s="53"/>
      <c r="S229" s="79"/>
    </row>
    <row r="230" spans="1:19" s="52" customFormat="1" ht="12.75">
      <c r="A230" s="55" t="s">
        <v>119</v>
      </c>
      <c r="B230" s="55"/>
      <c r="C230" s="55"/>
      <c r="D230" s="84"/>
      <c r="E230" s="55"/>
      <c r="F230" s="8">
        <v>6068000</v>
      </c>
      <c r="G230" s="8"/>
      <c r="H230" s="8">
        <v>5960305</v>
      </c>
      <c r="I230" s="54">
        <f>H230/$H$295</f>
        <v>0.02288385755252866</v>
      </c>
      <c r="J230" s="50"/>
      <c r="K230" s="50"/>
      <c r="L230" s="50"/>
      <c r="M230" s="54"/>
      <c r="N230" s="54"/>
      <c r="O230" s="53"/>
      <c r="P230" s="53"/>
      <c r="S230" s="79"/>
    </row>
    <row r="231" spans="1:19" s="52" customFormat="1" ht="12.75">
      <c r="A231" s="55"/>
      <c r="B231" s="55"/>
      <c r="C231" s="55"/>
      <c r="D231" s="84"/>
      <c r="E231" s="55"/>
      <c r="F231" s="51"/>
      <c r="G231" s="51"/>
      <c r="H231" s="51"/>
      <c r="I231" s="54"/>
      <c r="J231" s="50"/>
      <c r="K231" s="50"/>
      <c r="L231" s="50"/>
      <c r="M231" s="54"/>
      <c r="N231" s="54"/>
      <c r="O231" s="53"/>
      <c r="P231" s="53"/>
      <c r="S231" s="79"/>
    </row>
    <row r="232" spans="1:19" s="52" customFormat="1" ht="12.75">
      <c r="A232" s="80" t="str">
        <f>"Utilities - "&amp;TEXT((H238)/$H$295,"##0.00%")</f>
        <v>Utilities - 5.11%</v>
      </c>
      <c r="B232" s="80"/>
      <c r="C232" s="80"/>
      <c r="D232" s="83"/>
      <c r="E232" s="80"/>
      <c r="F232" s="51"/>
      <c r="G232" s="51"/>
      <c r="H232" s="51"/>
      <c r="I232" s="54"/>
      <c r="J232" s="50"/>
      <c r="K232" s="50"/>
      <c r="L232" s="50"/>
      <c r="M232" s="54"/>
      <c r="N232" s="54"/>
      <c r="O232" s="53"/>
      <c r="P232" s="53"/>
      <c r="S232" s="79"/>
    </row>
    <row r="233" spans="1:19" s="52" customFormat="1" ht="12.75">
      <c r="A233" s="55" t="s">
        <v>158</v>
      </c>
      <c r="B233" s="55"/>
      <c r="C233" s="55"/>
      <c r="D233" s="84"/>
      <c r="E233" s="55"/>
      <c r="F233" s="8">
        <v>3758000</v>
      </c>
      <c r="G233" s="8"/>
      <c r="H233" s="8">
        <v>3568011</v>
      </c>
      <c r="I233" s="54"/>
      <c r="J233" s="50"/>
      <c r="K233" s="50"/>
      <c r="L233" s="50"/>
      <c r="M233" s="54"/>
      <c r="N233" s="54"/>
      <c r="O233" s="53"/>
      <c r="P233" s="53"/>
      <c r="S233" s="79"/>
    </row>
    <row r="234" spans="1:19" s="52" customFormat="1" ht="12.75">
      <c r="A234" s="55" t="s">
        <v>157</v>
      </c>
      <c r="B234" s="55"/>
      <c r="C234" s="55"/>
      <c r="D234" s="84"/>
      <c r="E234" s="55"/>
      <c r="F234" s="8">
        <v>2500000</v>
      </c>
      <c r="G234" s="8"/>
      <c r="H234" s="8">
        <v>2150655</v>
      </c>
      <c r="I234" s="54"/>
      <c r="J234" s="50"/>
      <c r="K234" s="50"/>
      <c r="L234" s="50"/>
      <c r="M234" s="54"/>
      <c r="N234" s="54"/>
      <c r="O234" s="53"/>
      <c r="P234" s="53"/>
      <c r="S234" s="79"/>
    </row>
    <row r="235" spans="1:19" s="52" customFormat="1" ht="12.75">
      <c r="A235" s="55" t="s">
        <v>85</v>
      </c>
      <c r="B235" s="55"/>
      <c r="C235" s="55"/>
      <c r="D235" s="84"/>
      <c r="E235" s="55"/>
      <c r="F235" s="8">
        <v>4704000</v>
      </c>
      <c r="G235" s="8"/>
      <c r="H235" s="8">
        <v>4729853</v>
      </c>
      <c r="I235" s="54"/>
      <c r="J235" s="50"/>
      <c r="K235" s="50"/>
      <c r="L235" s="50"/>
      <c r="M235" s="54"/>
      <c r="N235" s="54"/>
      <c r="O235" s="53"/>
      <c r="P235" s="53"/>
      <c r="S235" s="79"/>
    </row>
    <row r="236" spans="1:19" s="52" customFormat="1" ht="12.75">
      <c r="A236" s="55" t="s">
        <v>87</v>
      </c>
      <c r="B236" s="55"/>
      <c r="C236" s="55"/>
      <c r="D236" s="84"/>
      <c r="E236" s="55"/>
      <c r="F236" s="8">
        <v>3000000</v>
      </c>
      <c r="G236" s="8"/>
      <c r="H236" s="8">
        <v>2855537</v>
      </c>
      <c r="I236" s="54"/>
      <c r="J236" s="50"/>
      <c r="K236" s="50"/>
      <c r="L236" s="50"/>
      <c r="M236" s="54"/>
      <c r="N236" s="54"/>
      <c r="O236" s="53"/>
      <c r="P236" s="53"/>
      <c r="S236" s="79"/>
    </row>
    <row r="237" spans="1:19" s="52" customFormat="1" ht="12.75">
      <c r="A237" s="55"/>
      <c r="B237" s="55"/>
      <c r="C237" s="55"/>
      <c r="D237" s="84"/>
      <c r="E237" s="55"/>
      <c r="F237" s="51"/>
      <c r="G237" s="51"/>
      <c r="H237" s="51"/>
      <c r="I237" s="54"/>
      <c r="J237" s="50"/>
      <c r="K237" s="50"/>
      <c r="L237" s="50"/>
      <c r="M237" s="54"/>
      <c r="N237" s="54"/>
      <c r="O237" s="53"/>
      <c r="P237" s="53"/>
      <c r="S237" s="79"/>
    </row>
    <row r="238" spans="1:19" s="52" customFormat="1" ht="12.75">
      <c r="A238" s="55"/>
      <c r="B238" s="55"/>
      <c r="C238" s="55"/>
      <c r="D238" s="84"/>
      <c r="E238" s="55"/>
      <c r="F238" s="51"/>
      <c r="G238" s="51"/>
      <c r="H238" s="51">
        <f>SUM(H233:H237)</f>
        <v>13304056</v>
      </c>
      <c r="I238" s="54">
        <f>H238/$H$295</f>
        <v>0.05107928577058796</v>
      </c>
      <c r="J238" s="50"/>
      <c r="K238" s="50"/>
      <c r="L238" s="50"/>
      <c r="M238" s="54"/>
      <c r="N238" s="54"/>
      <c r="O238" s="53"/>
      <c r="P238" s="53"/>
      <c r="S238" s="79"/>
    </row>
    <row r="239" spans="1:19" s="52" customFormat="1" ht="12.75">
      <c r="A239" s="55"/>
      <c r="B239" s="55"/>
      <c r="C239" s="55"/>
      <c r="D239" s="84"/>
      <c r="E239" s="55"/>
      <c r="F239" s="51"/>
      <c r="G239" s="51"/>
      <c r="H239" s="51"/>
      <c r="I239" s="54"/>
      <c r="J239" s="50"/>
      <c r="K239" s="50"/>
      <c r="L239" s="50"/>
      <c r="M239" s="54"/>
      <c r="N239" s="54"/>
      <c r="O239" s="53"/>
      <c r="P239" s="53"/>
      <c r="S239" s="79"/>
    </row>
    <row r="240" spans="1:19" s="52" customFormat="1" ht="12.75">
      <c r="A240" s="80" t="str">
        <f>"Wireline Telecommunications Services - "&amp;TEXT((H244)/$H$295,"##0.00%")</f>
        <v>Wireline Telecommunications Services - 2.95%</v>
      </c>
      <c r="B240" s="80"/>
      <c r="C240" s="80"/>
      <c r="D240" s="83"/>
      <c r="E240" s="80"/>
      <c r="F240" s="51"/>
      <c r="G240" s="51"/>
      <c r="H240" s="51"/>
      <c r="I240" s="54"/>
      <c r="J240" s="50"/>
      <c r="K240" s="50"/>
      <c r="L240" s="50"/>
      <c r="M240" s="54"/>
      <c r="N240" s="54"/>
      <c r="O240" s="53"/>
      <c r="P240" s="53"/>
      <c r="S240" s="79"/>
    </row>
    <row r="241" spans="1:19" s="52" customFormat="1" ht="12.75">
      <c r="A241" s="55" t="s">
        <v>88</v>
      </c>
      <c r="B241" s="55"/>
      <c r="C241" s="55"/>
      <c r="D241" s="84"/>
      <c r="E241" s="55"/>
      <c r="F241" s="8">
        <v>5600000</v>
      </c>
      <c r="G241" s="8"/>
      <c r="H241" s="8">
        <v>5490703</v>
      </c>
      <c r="I241" s="54"/>
      <c r="J241" s="50"/>
      <c r="K241" s="50"/>
      <c r="L241" s="50"/>
      <c r="M241" s="54"/>
      <c r="N241" s="54"/>
      <c r="O241" s="53"/>
      <c r="P241" s="53"/>
      <c r="S241" s="79"/>
    </row>
    <row r="242" spans="1:19" s="52" customFormat="1" ht="12.75">
      <c r="A242" s="55" t="s">
        <v>57</v>
      </c>
      <c r="B242" s="55"/>
      <c r="C242" s="55"/>
      <c r="D242" s="84"/>
      <c r="E242" s="55"/>
      <c r="F242" s="8">
        <v>2300000</v>
      </c>
      <c r="G242" s="8"/>
      <c r="H242" s="8">
        <v>2192925</v>
      </c>
      <c r="I242" s="54"/>
      <c r="J242" s="50"/>
      <c r="K242" s="50"/>
      <c r="L242" s="50"/>
      <c r="M242" s="54"/>
      <c r="N242" s="54"/>
      <c r="O242" s="53"/>
      <c r="P242" s="53"/>
      <c r="S242" s="79"/>
    </row>
    <row r="243" spans="1:19" s="52" customFormat="1" ht="12.75">
      <c r="A243" s="55"/>
      <c r="B243" s="55"/>
      <c r="C243" s="55"/>
      <c r="D243" s="84"/>
      <c r="E243" s="55"/>
      <c r="F243" s="51"/>
      <c r="G243" s="51"/>
      <c r="H243" s="51"/>
      <c r="I243" s="54"/>
      <c r="J243" s="50"/>
      <c r="K243" s="50"/>
      <c r="L243" s="50"/>
      <c r="M243" s="54"/>
      <c r="N243" s="54"/>
      <c r="O243" s="53"/>
      <c r="P243" s="53"/>
      <c r="S243" s="79"/>
    </row>
    <row r="244" spans="1:19" s="52" customFormat="1" ht="12.75">
      <c r="A244" s="55"/>
      <c r="B244" s="55"/>
      <c r="C244" s="55"/>
      <c r="D244" s="84"/>
      <c r="E244" s="55"/>
      <c r="F244" s="51"/>
      <c r="G244" s="51"/>
      <c r="H244" s="51">
        <f>SUM(H240:H243)</f>
        <v>7683628</v>
      </c>
      <c r="I244" s="54">
        <f>H244/$H$295</f>
        <v>0.029500344133164443</v>
      </c>
      <c r="J244" s="50"/>
      <c r="K244" s="50"/>
      <c r="L244" s="50"/>
      <c r="M244" s="54"/>
      <c r="N244" s="54"/>
      <c r="O244" s="53"/>
      <c r="P244" s="53"/>
      <c r="S244" s="79"/>
    </row>
    <row r="245" spans="1:5" ht="12.75">
      <c r="A245" s="33"/>
      <c r="B245" s="33"/>
      <c r="C245" s="33"/>
      <c r="D245" s="63"/>
      <c r="E245" s="33"/>
    </row>
    <row r="246" spans="1:12" ht="12.75">
      <c r="A246" s="33" t="s">
        <v>44</v>
      </c>
      <c r="B246" s="33"/>
      <c r="C246" s="33"/>
      <c r="D246" s="59"/>
      <c r="E246" s="33"/>
      <c r="F246" s="98" t="s">
        <v>175</v>
      </c>
      <c r="H246" s="51">
        <f>H244+H238+H230+H227+H197+H191+H183+H180+H172+H165+H159+H152+H149</f>
        <v>163368763.3</v>
      </c>
      <c r="I246" s="27">
        <f>H246/$H$295</f>
        <v>0.6272342619865883</v>
      </c>
      <c r="J246" s="50"/>
      <c r="K246" s="50"/>
      <c r="L246" s="50"/>
    </row>
    <row r="247" spans="1:5" ht="12.75">
      <c r="A247" s="33"/>
      <c r="B247" s="33"/>
      <c r="C247" s="33"/>
      <c r="D247" s="59"/>
      <c r="E247" s="33"/>
    </row>
    <row r="248" spans="1:8" ht="12.75">
      <c r="A248" s="34" t="str">
        <f>"Bank Time Deposits - "&amp;TEXT((H273)/$H$295,"##0.00% (5)")</f>
        <v>Bank Time Deposits - 22.99% (5)</v>
      </c>
      <c r="B248" s="34"/>
      <c r="C248" s="34"/>
      <c r="D248" s="58"/>
      <c r="E248" s="34"/>
      <c r="F248" s="34"/>
      <c r="G248" s="34"/>
      <c r="H248" s="34"/>
    </row>
    <row r="249" spans="1:5" ht="12.75">
      <c r="A249" s="33"/>
      <c r="B249" s="33"/>
      <c r="C249" s="33"/>
      <c r="D249" s="64"/>
      <c r="E249" s="4"/>
    </row>
    <row r="250" spans="1:19" s="52" customFormat="1" ht="12.75">
      <c r="A250" s="55" t="s">
        <v>132</v>
      </c>
      <c r="B250" s="55"/>
      <c r="C250" s="55"/>
      <c r="D250" s="82"/>
      <c r="E250" s="55"/>
      <c r="F250" s="8">
        <v>3000000</v>
      </c>
      <c r="G250" s="8"/>
      <c r="H250" s="8">
        <v>3000000</v>
      </c>
      <c r="I250" s="54"/>
      <c r="J250" s="50"/>
      <c r="K250" s="50">
        <f>H246-'[1]Unrealized Gain-Loss (1)'!$L$143</f>
        <v>2.0699999630451202</v>
      </c>
      <c r="L250" s="50"/>
      <c r="M250" s="54"/>
      <c r="N250" s="54"/>
      <c r="O250" s="53"/>
      <c r="P250" s="53"/>
      <c r="S250" s="79"/>
    </row>
    <row r="251" spans="1:19" s="52" customFormat="1" ht="12.75">
      <c r="A251" s="55" t="s">
        <v>133</v>
      </c>
      <c r="B251" s="55"/>
      <c r="C251" s="55"/>
      <c r="D251" s="82"/>
      <c r="E251" s="55"/>
      <c r="F251" s="8">
        <v>3000000</v>
      </c>
      <c r="G251" s="8"/>
      <c r="H251" s="8">
        <v>3000000</v>
      </c>
      <c r="I251" s="54"/>
      <c r="J251" s="50"/>
      <c r="K251" s="50"/>
      <c r="L251" s="50"/>
      <c r="M251" s="54"/>
      <c r="N251" s="54"/>
      <c r="O251" s="53"/>
      <c r="P251" s="53"/>
      <c r="S251" s="79"/>
    </row>
    <row r="252" spans="1:19" s="52" customFormat="1" ht="12.75">
      <c r="A252" s="55" t="s">
        <v>134</v>
      </c>
      <c r="B252" s="55"/>
      <c r="C252" s="55"/>
      <c r="D252" s="82"/>
      <c r="E252" s="55"/>
      <c r="F252" s="8">
        <v>3000000</v>
      </c>
      <c r="G252" s="8"/>
      <c r="H252" s="8">
        <v>3000000</v>
      </c>
      <c r="I252" s="54"/>
      <c r="J252" s="50"/>
      <c r="K252" s="50"/>
      <c r="L252" s="50"/>
      <c r="M252" s="54"/>
      <c r="N252" s="54"/>
      <c r="O252" s="53"/>
      <c r="P252" s="53"/>
      <c r="S252" s="79"/>
    </row>
    <row r="253" spans="1:19" s="52" customFormat="1" ht="12.75">
      <c r="A253" s="55" t="s">
        <v>135</v>
      </c>
      <c r="B253" s="55"/>
      <c r="C253" s="55"/>
      <c r="D253" s="82"/>
      <c r="E253" s="55"/>
      <c r="F253" s="8">
        <v>3239853.12</v>
      </c>
      <c r="G253" s="8"/>
      <c r="H253" s="8">
        <v>3239853</v>
      </c>
      <c r="I253" s="54"/>
      <c r="J253" s="50"/>
      <c r="K253" s="50"/>
      <c r="L253" s="50"/>
      <c r="M253" s="54"/>
      <c r="N253" s="54"/>
      <c r="O253" s="53"/>
      <c r="P253" s="53"/>
      <c r="S253" s="79"/>
    </row>
    <row r="254" spans="1:19" s="52" customFormat="1" ht="12.75">
      <c r="A254" s="55" t="s">
        <v>136</v>
      </c>
      <c r="B254" s="55"/>
      <c r="C254" s="55"/>
      <c r="D254" s="82"/>
      <c r="E254" s="55"/>
      <c r="F254" s="8">
        <v>2038652.78</v>
      </c>
      <c r="G254" s="8"/>
      <c r="H254" s="8">
        <v>2038653</v>
      </c>
      <c r="I254" s="54"/>
      <c r="J254" s="50"/>
      <c r="K254" s="50"/>
      <c r="L254" s="50"/>
      <c r="M254" s="54"/>
      <c r="N254" s="54"/>
      <c r="O254" s="53"/>
      <c r="P254" s="53"/>
      <c r="S254" s="79"/>
    </row>
    <row r="255" spans="1:19" s="52" customFormat="1" ht="12.75">
      <c r="A255" s="55" t="s">
        <v>137</v>
      </c>
      <c r="B255" s="55"/>
      <c r="C255" s="55"/>
      <c r="D255" s="82"/>
      <c r="E255" s="55"/>
      <c r="F255" s="8">
        <v>3050416.67</v>
      </c>
      <c r="G255" s="8"/>
      <c r="H255" s="8">
        <v>3050417</v>
      </c>
      <c r="I255" s="54"/>
      <c r="J255" s="50"/>
      <c r="K255" s="50"/>
      <c r="L255" s="50"/>
      <c r="M255" s="54"/>
      <c r="N255" s="54"/>
      <c r="O255" s="53"/>
      <c r="P255" s="53"/>
      <c r="S255" s="79"/>
    </row>
    <row r="256" spans="1:19" s="52" customFormat="1" ht="12.75">
      <c r="A256" s="55" t="s">
        <v>138</v>
      </c>
      <c r="B256" s="55"/>
      <c r="C256" s="55"/>
      <c r="D256" s="82"/>
      <c r="E256" s="55"/>
      <c r="F256" s="8">
        <v>3037916.67</v>
      </c>
      <c r="G256" s="8"/>
      <c r="H256" s="8">
        <v>3037917</v>
      </c>
      <c r="I256" s="54"/>
      <c r="J256" s="50"/>
      <c r="K256" s="50"/>
      <c r="L256" s="50"/>
      <c r="M256" s="54"/>
      <c r="N256" s="54"/>
      <c r="O256" s="53"/>
      <c r="P256" s="53"/>
      <c r="S256" s="79"/>
    </row>
    <row r="257" spans="1:19" s="52" customFormat="1" ht="12.75">
      <c r="A257" s="55" t="s">
        <v>138</v>
      </c>
      <c r="B257" s="55"/>
      <c r="C257" s="55"/>
      <c r="D257" s="82"/>
      <c r="E257" s="55"/>
      <c r="F257" s="8">
        <v>3000000</v>
      </c>
      <c r="G257" s="8"/>
      <c r="H257" s="8">
        <v>3000000</v>
      </c>
      <c r="I257" s="54"/>
      <c r="J257" s="50"/>
      <c r="K257" s="50"/>
      <c r="L257" s="50"/>
      <c r="M257" s="54"/>
      <c r="N257" s="54"/>
      <c r="O257" s="53"/>
      <c r="P257" s="53"/>
      <c r="S257" s="79"/>
    </row>
    <row r="258" spans="1:19" s="52" customFormat="1" ht="12.75">
      <c r="A258" s="55" t="s">
        <v>140</v>
      </c>
      <c r="B258" s="55"/>
      <c r="C258" s="55"/>
      <c r="D258" s="82"/>
      <c r="E258" s="55"/>
      <c r="F258" s="8">
        <v>3000000</v>
      </c>
      <c r="G258" s="8"/>
      <c r="H258" s="8">
        <v>3000000</v>
      </c>
      <c r="I258" s="54"/>
      <c r="J258" s="50"/>
      <c r="K258" s="50"/>
      <c r="L258" s="50"/>
      <c r="M258" s="54"/>
      <c r="N258" s="54"/>
      <c r="O258" s="53"/>
      <c r="P258" s="53"/>
      <c r="S258" s="79"/>
    </row>
    <row r="259" spans="1:19" s="52" customFormat="1" ht="12.75">
      <c r="A259" s="55" t="s">
        <v>139</v>
      </c>
      <c r="B259" s="55"/>
      <c r="C259" s="55"/>
      <c r="D259" s="82"/>
      <c r="E259" s="55"/>
      <c r="F259" s="8">
        <v>3000000</v>
      </c>
      <c r="G259" s="8"/>
      <c r="H259" s="8">
        <v>3000000</v>
      </c>
      <c r="I259" s="54"/>
      <c r="J259" s="50"/>
      <c r="K259" s="50"/>
      <c r="L259" s="50"/>
      <c r="M259" s="54"/>
      <c r="N259" s="54"/>
      <c r="O259" s="53"/>
      <c r="P259" s="53"/>
      <c r="S259" s="79"/>
    </row>
    <row r="260" spans="1:19" s="52" customFormat="1" ht="12.75">
      <c r="A260" s="55" t="s">
        <v>141</v>
      </c>
      <c r="B260" s="55"/>
      <c r="C260" s="55"/>
      <c r="D260" s="82"/>
      <c r="E260" s="55"/>
      <c r="F260" s="8">
        <v>2126530.06</v>
      </c>
      <c r="G260" s="8"/>
      <c r="H260" s="8">
        <v>2126530</v>
      </c>
      <c r="I260" s="54"/>
      <c r="J260" s="50"/>
      <c r="K260" s="50"/>
      <c r="L260" s="50"/>
      <c r="M260" s="54"/>
      <c r="N260" s="54"/>
      <c r="O260" s="53"/>
      <c r="P260" s="53"/>
      <c r="S260" s="79"/>
    </row>
    <row r="261" spans="1:19" s="52" customFormat="1" ht="12.75">
      <c r="A261" s="55" t="s">
        <v>148</v>
      </c>
      <c r="B261" s="55"/>
      <c r="C261" s="55"/>
      <c r="D261" s="82"/>
      <c r="E261" s="55"/>
      <c r="F261" s="8">
        <v>2089107.65</v>
      </c>
      <c r="G261" s="8"/>
      <c r="H261" s="8">
        <v>2089108</v>
      </c>
      <c r="I261" s="54"/>
      <c r="J261" s="50"/>
      <c r="K261" s="50"/>
      <c r="L261" s="50"/>
      <c r="M261" s="54"/>
      <c r="N261" s="54"/>
      <c r="O261" s="53"/>
      <c r="P261" s="53"/>
      <c r="S261" s="79"/>
    </row>
    <row r="262" spans="1:19" s="52" customFormat="1" ht="12.75">
      <c r="A262" s="55" t="s">
        <v>147</v>
      </c>
      <c r="B262" s="55"/>
      <c r="C262" s="55"/>
      <c r="D262" s="82"/>
      <c r="E262" s="55"/>
      <c r="F262" s="8">
        <v>2096674.46</v>
      </c>
      <c r="G262" s="8"/>
      <c r="H262" s="8">
        <v>2096674</v>
      </c>
      <c r="I262" s="54"/>
      <c r="J262" s="50"/>
      <c r="K262" s="50"/>
      <c r="L262" s="50"/>
      <c r="M262" s="54"/>
      <c r="N262" s="54"/>
      <c r="O262" s="53"/>
      <c r="P262" s="53"/>
      <c r="S262" s="79"/>
    </row>
    <row r="263" spans="1:19" s="52" customFormat="1" ht="12.75">
      <c r="A263" s="55" t="s">
        <v>142</v>
      </c>
      <c r="B263" s="55"/>
      <c r="C263" s="55"/>
      <c r="D263" s="82"/>
      <c r="E263" s="55"/>
      <c r="F263" s="8">
        <v>2067192.29</v>
      </c>
      <c r="G263" s="8"/>
      <c r="H263" s="8">
        <v>2067192</v>
      </c>
      <c r="I263" s="54"/>
      <c r="J263" s="50"/>
      <c r="K263" s="50"/>
      <c r="L263" s="50"/>
      <c r="M263" s="54"/>
      <c r="N263" s="54"/>
      <c r="O263" s="53"/>
      <c r="P263" s="53"/>
      <c r="S263" s="79"/>
    </row>
    <row r="264" spans="1:19" s="52" customFormat="1" ht="12.75">
      <c r="A264" s="55" t="s">
        <v>143</v>
      </c>
      <c r="B264" s="55"/>
      <c r="C264" s="55"/>
      <c r="D264" s="82"/>
      <c r="E264" s="55"/>
      <c r="F264" s="8">
        <v>2000000</v>
      </c>
      <c r="G264" s="8"/>
      <c r="H264" s="8">
        <v>2000000</v>
      </c>
      <c r="I264" s="54"/>
      <c r="J264" s="50"/>
      <c r="K264" s="50"/>
      <c r="L264" s="50"/>
      <c r="M264" s="54"/>
      <c r="N264" s="54"/>
      <c r="O264" s="53"/>
      <c r="P264" s="53"/>
      <c r="S264" s="79"/>
    </row>
    <row r="265" spans="1:19" s="52" customFormat="1" ht="12.75">
      <c r="A265" s="55" t="s">
        <v>146</v>
      </c>
      <c r="B265" s="55"/>
      <c r="C265" s="55"/>
      <c r="D265" s="82"/>
      <c r="E265" s="55"/>
      <c r="F265" s="8">
        <v>2000000</v>
      </c>
      <c r="G265" s="8"/>
      <c r="H265" s="8">
        <v>2000000</v>
      </c>
      <c r="I265" s="54"/>
      <c r="J265" s="50"/>
      <c r="K265" s="50"/>
      <c r="L265" s="50"/>
      <c r="M265" s="54"/>
      <c r="N265" s="54"/>
      <c r="O265" s="53"/>
      <c r="P265" s="53"/>
      <c r="S265" s="79"/>
    </row>
    <row r="266" spans="1:19" s="52" customFormat="1" ht="12.75">
      <c r="A266" s="55" t="s">
        <v>145</v>
      </c>
      <c r="B266" s="55"/>
      <c r="C266" s="55"/>
      <c r="D266" s="82"/>
      <c r="E266" s="55"/>
      <c r="F266" s="8">
        <v>4000000</v>
      </c>
      <c r="G266" s="8"/>
      <c r="H266" s="8">
        <v>4000000</v>
      </c>
      <c r="I266" s="54"/>
      <c r="J266" s="50"/>
      <c r="K266" s="50"/>
      <c r="L266" s="50"/>
      <c r="M266" s="54"/>
      <c r="N266" s="54"/>
      <c r="O266" s="53"/>
      <c r="P266" s="53"/>
      <c r="S266" s="79"/>
    </row>
    <row r="267" spans="1:19" s="52" customFormat="1" ht="12.75">
      <c r="A267" s="55" t="s">
        <v>144</v>
      </c>
      <c r="B267" s="55"/>
      <c r="C267" s="55"/>
      <c r="D267" s="82"/>
      <c r="E267" s="55"/>
      <c r="F267" s="8">
        <v>3000000</v>
      </c>
      <c r="G267" s="8"/>
      <c r="H267" s="8">
        <v>3000000</v>
      </c>
      <c r="I267" s="54"/>
      <c r="J267" s="50"/>
      <c r="K267" s="50"/>
      <c r="L267" s="50"/>
      <c r="M267" s="54"/>
      <c r="N267" s="54"/>
      <c r="O267" s="53"/>
      <c r="P267" s="53"/>
      <c r="S267" s="79"/>
    </row>
    <row r="268" spans="1:19" s="52" customFormat="1" ht="12.75">
      <c r="A268" s="55" t="s">
        <v>149</v>
      </c>
      <c r="B268" s="55"/>
      <c r="C268" s="55"/>
      <c r="D268" s="82"/>
      <c r="E268" s="55"/>
      <c r="F268" s="8">
        <v>2067410</v>
      </c>
      <c r="G268" s="8"/>
      <c r="H268" s="8">
        <v>2067410</v>
      </c>
      <c r="I268" s="54"/>
      <c r="J268" s="50"/>
      <c r="K268" s="50"/>
      <c r="L268" s="50"/>
      <c r="M268" s="54"/>
      <c r="N268" s="54"/>
      <c r="O268" s="53"/>
      <c r="P268" s="53"/>
      <c r="S268" s="79"/>
    </row>
    <row r="269" spans="1:19" s="52" customFormat="1" ht="12.75">
      <c r="A269" s="55" t="s">
        <v>150</v>
      </c>
      <c r="B269" s="55"/>
      <c r="C269" s="55"/>
      <c r="D269" s="82"/>
      <c r="E269" s="55"/>
      <c r="F269" s="8">
        <v>2576718.06</v>
      </c>
      <c r="G269" s="8"/>
      <c r="H269" s="8">
        <v>2576718</v>
      </c>
      <c r="I269" s="54"/>
      <c r="J269" s="50"/>
      <c r="K269" s="50"/>
      <c r="L269" s="50"/>
      <c r="M269" s="54"/>
      <c r="N269" s="54"/>
      <c r="O269" s="53"/>
      <c r="P269" s="53"/>
      <c r="S269" s="79"/>
    </row>
    <row r="270" spans="1:19" s="52" customFormat="1" ht="12.75">
      <c r="A270" s="55" t="s">
        <v>149</v>
      </c>
      <c r="B270" s="55"/>
      <c r="C270" s="55"/>
      <c r="D270" s="82"/>
      <c r="E270" s="55"/>
      <c r="F270" s="8">
        <v>2500000</v>
      </c>
      <c r="G270" s="8"/>
      <c r="H270" s="8">
        <v>2500000</v>
      </c>
      <c r="I270" s="54"/>
      <c r="J270" s="50"/>
      <c r="K270" s="50"/>
      <c r="L270" s="50"/>
      <c r="M270" s="54"/>
      <c r="N270" s="54"/>
      <c r="O270" s="53"/>
      <c r="P270" s="53"/>
      <c r="S270" s="79"/>
    </row>
    <row r="271" spans="1:19" s="52" customFormat="1" ht="12.75">
      <c r="A271" s="55" t="s">
        <v>151</v>
      </c>
      <c r="B271" s="55"/>
      <c r="C271" s="55"/>
      <c r="D271" s="82"/>
      <c r="E271" s="55"/>
      <c r="F271" s="8">
        <v>4000000</v>
      </c>
      <c r="G271" s="8"/>
      <c r="H271" s="8">
        <v>4000000</v>
      </c>
      <c r="I271" s="54"/>
      <c r="J271" s="50"/>
      <c r="K271" s="50"/>
      <c r="L271" s="50"/>
      <c r="M271" s="54"/>
      <c r="N271" s="54"/>
      <c r="O271" s="53"/>
      <c r="P271" s="53"/>
      <c r="S271" s="79"/>
    </row>
    <row r="272" spans="1:5" ht="12.75">
      <c r="A272" s="33"/>
      <c r="B272" s="33"/>
      <c r="C272" s="33"/>
      <c r="D272" s="59"/>
      <c r="E272" s="33"/>
    </row>
    <row r="273" spans="1:11" ht="12.75">
      <c r="A273" s="33" t="s">
        <v>25</v>
      </c>
      <c r="B273" s="33"/>
      <c r="C273" s="33"/>
      <c r="D273" s="59"/>
      <c r="E273" s="33"/>
      <c r="F273" s="111" t="s">
        <v>174</v>
      </c>
      <c r="H273" s="8">
        <f>SUM(H250:H272)</f>
        <v>59890472</v>
      </c>
      <c r="I273" s="27">
        <f>H273/$H$295</f>
        <v>0.22994209692317863</v>
      </c>
      <c r="J273" s="50"/>
      <c r="K273" s="50"/>
    </row>
    <row r="274" spans="1:11" ht="12.75">
      <c r="A274" s="33"/>
      <c r="B274" s="33"/>
      <c r="C274" s="33"/>
      <c r="D274" s="59"/>
      <c r="E274" s="33"/>
      <c r="K274" s="27"/>
    </row>
    <row r="275" spans="1:8" ht="12.75">
      <c r="A275" s="34" t="str">
        <f>"Trade Finance Agreements (3) - "&amp;TEXT((H289)/$H$295,"##0.00%")</f>
        <v>Trade Finance Agreements (3) - 0.91%</v>
      </c>
      <c r="B275" s="34"/>
      <c r="C275" s="34"/>
      <c r="D275" s="58"/>
      <c r="E275" s="34"/>
      <c r="F275" s="34"/>
      <c r="G275" s="34"/>
      <c r="H275" s="34"/>
    </row>
    <row r="276" spans="1:5" ht="12.75">
      <c r="A276" s="33"/>
      <c r="B276" s="33"/>
      <c r="C276" s="33"/>
      <c r="D276" s="59"/>
      <c r="E276" s="33"/>
    </row>
    <row r="277" spans="1:8" ht="12.75">
      <c r="A277" s="33"/>
      <c r="B277" s="33"/>
      <c r="C277" s="33"/>
      <c r="D277" s="65" t="s">
        <v>2</v>
      </c>
      <c r="E277" s="42" t="s">
        <v>42</v>
      </c>
      <c r="F277" s="6"/>
      <c r="G277" s="6"/>
      <c r="H277" s="6"/>
    </row>
    <row r="278" spans="1:8" ht="12.75">
      <c r="A278" s="33"/>
      <c r="B278" s="33"/>
      <c r="C278" s="33"/>
      <c r="D278" s="66" t="s">
        <v>3</v>
      </c>
      <c r="E278" s="41" t="s">
        <v>47</v>
      </c>
      <c r="F278" s="44" t="s">
        <v>48</v>
      </c>
      <c r="G278" s="44"/>
      <c r="H278" s="44" t="s">
        <v>43</v>
      </c>
    </row>
    <row r="279" spans="1:10" ht="12.75">
      <c r="A279" s="33"/>
      <c r="B279" s="33"/>
      <c r="C279" s="33"/>
      <c r="D279" s="66"/>
      <c r="E279" s="41"/>
      <c r="F279" s="44"/>
      <c r="G279" s="44"/>
      <c r="H279" s="44"/>
      <c r="J279" s="31">
        <v>36352297</v>
      </c>
    </row>
    <row r="280" spans="1:19" s="52" customFormat="1" ht="12.75">
      <c r="A280" s="80" t="str">
        <f>"Energy-Oil Refining &amp; Marketing - "&amp;TEXT((H286)/$H$295,"##0.00%")</f>
        <v>Energy-Oil Refining &amp; Marketing - 0.91%</v>
      </c>
      <c r="B280" s="80"/>
      <c r="C280" s="80"/>
      <c r="D280" s="85"/>
      <c r="E280" s="43"/>
      <c r="F280" s="51"/>
      <c r="G280" s="51"/>
      <c r="H280" s="51"/>
      <c r="I280" s="54"/>
      <c r="J280" s="50"/>
      <c r="K280" s="50"/>
      <c r="L280" s="50"/>
      <c r="M280" s="54"/>
      <c r="N280" s="54"/>
      <c r="O280" s="53"/>
      <c r="P280" s="53"/>
      <c r="S280" s="79"/>
    </row>
    <row r="281" spans="1:19" s="52" customFormat="1" ht="12.75">
      <c r="A281" s="55" t="s">
        <v>153</v>
      </c>
      <c r="B281" s="80"/>
      <c r="C281" s="80"/>
      <c r="D281" s="94">
        <v>332161</v>
      </c>
      <c r="E281" s="99"/>
      <c r="F281" s="94">
        <v>332161</v>
      </c>
      <c r="G281" s="94"/>
      <c r="H281" s="94">
        <v>332161</v>
      </c>
      <c r="I281" s="54"/>
      <c r="J281" s="50"/>
      <c r="K281" s="50"/>
      <c r="L281" s="50"/>
      <c r="M281" s="54"/>
      <c r="N281" s="54"/>
      <c r="O281" s="53"/>
      <c r="P281" s="53"/>
      <c r="S281" s="79"/>
    </row>
    <row r="282" spans="1:19" s="52" customFormat="1" ht="12.75">
      <c r="A282" s="55" t="s">
        <v>154</v>
      </c>
      <c r="B282" s="55"/>
      <c r="C282" s="55"/>
      <c r="D282" s="94">
        <v>16238</v>
      </c>
      <c r="E282" s="99"/>
      <c r="F282" s="94">
        <v>16238</v>
      </c>
      <c r="G282" s="94"/>
      <c r="H282" s="94">
        <v>16238</v>
      </c>
      <c r="I282" s="54"/>
      <c r="J282" s="50"/>
      <c r="K282" s="50"/>
      <c r="L282" s="50"/>
      <c r="M282" s="54"/>
      <c r="N282" s="54"/>
      <c r="O282" s="53"/>
      <c r="P282" s="53"/>
      <c r="S282" s="79"/>
    </row>
    <row r="283" spans="1:19" s="52" customFormat="1" ht="12.75">
      <c r="A283" s="55" t="s">
        <v>155</v>
      </c>
      <c r="B283" s="55"/>
      <c r="C283" s="55"/>
      <c r="D283" s="94">
        <v>25481</v>
      </c>
      <c r="E283" s="99"/>
      <c r="F283" s="94">
        <v>25481</v>
      </c>
      <c r="G283" s="94"/>
      <c r="H283" s="94">
        <v>25481</v>
      </c>
      <c r="I283" s="54"/>
      <c r="J283" s="50"/>
      <c r="K283" s="50"/>
      <c r="L283" s="50"/>
      <c r="M283" s="54"/>
      <c r="N283" s="54"/>
      <c r="O283" s="53"/>
      <c r="P283" s="53"/>
      <c r="S283" s="79"/>
    </row>
    <row r="284" spans="1:19" s="52" customFormat="1" ht="12.75">
      <c r="A284" s="55" t="s">
        <v>152</v>
      </c>
      <c r="B284" s="55"/>
      <c r="C284" s="55"/>
      <c r="D284" s="94">
        <v>2000000</v>
      </c>
      <c r="E284" s="99"/>
      <c r="F284" s="94">
        <v>2000000</v>
      </c>
      <c r="G284" s="94"/>
      <c r="H284" s="94">
        <v>1988000</v>
      </c>
      <c r="I284" s="54"/>
      <c r="J284" s="50"/>
      <c r="K284" s="50"/>
      <c r="L284" s="50"/>
      <c r="M284" s="54"/>
      <c r="N284" s="54"/>
      <c r="O284" s="53"/>
      <c r="P284" s="53"/>
      <c r="S284" s="79"/>
    </row>
    <row r="285" spans="1:19" s="52" customFormat="1" ht="12.75">
      <c r="A285" s="55"/>
      <c r="B285" s="55"/>
      <c r="C285" s="55"/>
      <c r="D285" s="93"/>
      <c r="E285" s="93"/>
      <c r="F285" s="93"/>
      <c r="G285" s="93"/>
      <c r="H285" s="93"/>
      <c r="I285" s="54"/>
      <c r="J285" s="50"/>
      <c r="K285" s="50"/>
      <c r="L285" s="50"/>
      <c r="M285" s="90"/>
      <c r="N285" s="53">
        <v>470538.12</v>
      </c>
      <c r="O285" s="27" t="s">
        <v>103</v>
      </c>
      <c r="S285" s="79"/>
    </row>
    <row r="286" spans="1:19" s="52" customFormat="1" ht="12.75">
      <c r="A286" s="87"/>
      <c r="B286" s="87"/>
      <c r="C286" s="87"/>
      <c r="D286" s="88"/>
      <c r="E286" s="87"/>
      <c r="F286" s="51"/>
      <c r="G286" s="51"/>
      <c r="H286" s="93">
        <f>SUM(H281:H285)</f>
        <v>2361880</v>
      </c>
      <c r="I286" s="54">
        <f>H286/$H$295</f>
        <v>0.009068147599186014</v>
      </c>
      <c r="J286" s="50"/>
      <c r="K286" s="50"/>
      <c r="L286" s="50"/>
      <c r="N286" s="92" t="e">
        <f>#REF!+N285</f>
        <v>#REF!</v>
      </c>
      <c r="O286" s="27"/>
      <c r="Q286" s="106"/>
      <c r="S286" s="79"/>
    </row>
    <row r="287" spans="1:19" s="52" customFormat="1" ht="12.75">
      <c r="A287" s="87"/>
      <c r="B287" s="87"/>
      <c r="C287" s="87"/>
      <c r="D287" s="88"/>
      <c r="E287" s="87"/>
      <c r="F287" s="51"/>
      <c r="G287" s="51"/>
      <c r="H287" s="51"/>
      <c r="I287" s="54"/>
      <c r="J287" s="50"/>
      <c r="K287" s="50"/>
      <c r="L287" s="50"/>
      <c r="N287" s="110"/>
      <c r="S287" s="79"/>
    </row>
    <row r="288" spans="1:18" ht="12.75">
      <c r="A288" s="4"/>
      <c r="B288" s="4"/>
      <c r="C288" s="4"/>
      <c r="D288" s="68"/>
      <c r="E288" s="4"/>
      <c r="M288" s="1"/>
      <c r="N288" s="1"/>
      <c r="O288" s="1"/>
      <c r="P288" s="1"/>
      <c r="R288" s="77"/>
    </row>
    <row r="289" spans="1:16" ht="12.75">
      <c r="A289" s="33" t="s">
        <v>24</v>
      </c>
      <c r="B289" s="33"/>
      <c r="C289" s="33"/>
      <c r="D289" s="67"/>
      <c r="E289" s="33"/>
      <c r="F289" s="8" t="str">
        <f>"(Cost $               "&amp;TEXT(SUM(F280:F284),"###,###")&amp;")"</f>
        <v>(Cost $               2,373,880)</v>
      </c>
      <c r="H289" s="8">
        <f>H286</f>
        <v>2361880</v>
      </c>
      <c r="I289" s="27">
        <f>H289/$H$295</f>
        <v>0.009068147599186014</v>
      </c>
      <c r="J289" s="50"/>
      <c r="K289" s="50"/>
      <c r="L289" s="31">
        <f>K289-H289</f>
        <v>-2361880</v>
      </c>
      <c r="M289" s="1"/>
      <c r="N289" s="92" t="e">
        <f>N286-H293</f>
        <v>#REF!</v>
      </c>
      <c r="O289" s="1"/>
      <c r="P289" s="1"/>
    </row>
    <row r="290" spans="1:16" ht="12.75">
      <c r="A290" s="33"/>
      <c r="B290" s="33"/>
      <c r="C290" s="33"/>
      <c r="D290" s="67"/>
      <c r="E290" s="33"/>
      <c r="J290" s="50"/>
      <c r="K290" s="50"/>
      <c r="M290" s="1"/>
      <c r="N290" s="1"/>
      <c r="O290" s="1"/>
      <c r="P290" s="1"/>
    </row>
    <row r="291" spans="1:19" ht="12.75">
      <c r="A291" s="46" t="str">
        <f>"Total Investments - "&amp;TEXT((H291)/$H$295,"##0.00%")</f>
        <v>Total Investments - 93.40%</v>
      </c>
      <c r="B291" s="60"/>
      <c r="C291" s="46"/>
      <c r="D291" s="69"/>
      <c r="E291" s="46"/>
      <c r="F291" s="98" t="s">
        <v>112</v>
      </c>
      <c r="H291" s="8">
        <f>H273+H289+H246+H131+H137</f>
        <v>243270994.3</v>
      </c>
      <c r="I291" s="27">
        <f>H291/$H$295</f>
        <v>0.9340090448765981</v>
      </c>
      <c r="J291" s="50"/>
      <c r="K291" s="50"/>
      <c r="L291" s="31">
        <f>K291-H291</f>
        <v>-243270994.3</v>
      </c>
      <c r="M291" s="1"/>
      <c r="N291" s="1"/>
      <c r="O291" s="1"/>
      <c r="P291" s="1"/>
      <c r="R291" s="89"/>
      <c r="S291" s="89"/>
    </row>
    <row r="292" spans="1:16" ht="12.75">
      <c r="A292" s="33"/>
      <c r="B292" s="33"/>
      <c r="C292" s="33"/>
      <c r="D292" s="67"/>
      <c r="E292" s="33"/>
      <c r="M292" s="1"/>
      <c r="N292" s="90"/>
      <c r="O292" s="54"/>
      <c r="P292" s="53"/>
    </row>
    <row r="293" spans="1:15" ht="12.75">
      <c r="A293" s="33" t="str">
        <f>"Other Assets Less Liabilities - "&amp;TEXT((H293)/$H$295,"##0.00%")</f>
        <v>Other Assets Less Liabilities - 6.60%</v>
      </c>
      <c r="B293" s="33"/>
      <c r="C293" s="33"/>
      <c r="D293" s="67"/>
      <c r="E293" s="33"/>
      <c r="F293" s="51"/>
      <c r="H293" s="51">
        <f>H295-H291</f>
        <v>17187933.409999996</v>
      </c>
      <c r="I293" s="27">
        <f>H293/$H$295</f>
        <v>0.06599095512340192</v>
      </c>
      <c r="M293" s="1"/>
      <c r="N293" s="98" t="s">
        <v>101</v>
      </c>
      <c r="O293" s="8">
        <v>209847696.59</v>
      </c>
    </row>
    <row r="294" spans="1:15" ht="12.75">
      <c r="A294" s="33"/>
      <c r="B294" s="33"/>
      <c r="C294" s="33"/>
      <c r="D294" s="67"/>
      <c r="E294" s="33"/>
      <c r="M294" s="1"/>
      <c r="N294" s="98"/>
      <c r="O294" s="8">
        <f>O293-H291</f>
        <v>-33423297.71000001</v>
      </c>
    </row>
    <row r="295" spans="1:15" ht="12.75">
      <c r="A295" s="33" t="str">
        <f>"Total Net Assets - "&amp;TEXT((H295)/$H$295,"##0.00%")</f>
        <v>Total Net Assets - 100.00%</v>
      </c>
      <c r="B295" s="33"/>
      <c r="C295" s="55"/>
      <c r="D295" s="86"/>
      <c r="E295" s="55"/>
      <c r="F295" s="51"/>
      <c r="H295" s="51">
        <v>260458927.71</v>
      </c>
      <c r="I295" s="27">
        <f>H295/$H$295</f>
        <v>1</v>
      </c>
      <c r="K295" s="95">
        <v>223834839.9</v>
      </c>
      <c r="L295" s="31" t="s">
        <v>54</v>
      </c>
      <c r="M295" s="1"/>
      <c r="N295" s="98"/>
      <c r="O295" s="1"/>
    </row>
    <row r="296" spans="1:14" ht="12.75">
      <c r="A296" s="33"/>
      <c r="B296" s="33"/>
      <c r="C296" s="33"/>
      <c r="D296" s="67"/>
      <c r="E296" s="33"/>
      <c r="K296" s="108">
        <v>-289023.86</v>
      </c>
      <c r="L296" s="31" t="s">
        <v>110</v>
      </c>
      <c r="N296" s="98"/>
    </row>
    <row r="297" spans="1:19" s="10" customFormat="1" ht="13.5">
      <c r="A297" s="37" t="s">
        <v>6</v>
      </c>
      <c r="B297" s="37"/>
      <c r="C297" s="37"/>
      <c r="D297" s="70"/>
      <c r="E297" s="37"/>
      <c r="F297" s="37"/>
      <c r="G297" s="37"/>
      <c r="H297" s="37"/>
      <c r="I297" s="27"/>
      <c r="J297" s="31"/>
      <c r="K297" s="31">
        <f>SUM(K295:K296)</f>
        <v>223545816.04</v>
      </c>
      <c r="L297" s="31" t="s">
        <v>17</v>
      </c>
      <c r="M297" s="31">
        <v>8693586</v>
      </c>
      <c r="N297" s="98"/>
      <c r="O297" s="40"/>
      <c r="P297" s="40"/>
      <c r="S297" s="77"/>
    </row>
    <row r="298" spans="1:19" s="10" customFormat="1" ht="12.75">
      <c r="A298" s="37" t="s">
        <v>26</v>
      </c>
      <c r="B298" s="37"/>
      <c r="C298" s="37"/>
      <c r="D298" s="70"/>
      <c r="E298" s="37"/>
      <c r="F298" s="37"/>
      <c r="G298" s="37"/>
      <c r="H298" s="37"/>
      <c r="I298" s="27"/>
      <c r="J298" s="31"/>
      <c r="K298" s="109">
        <v>470538.12</v>
      </c>
      <c r="L298" s="27" t="s">
        <v>103</v>
      </c>
      <c r="M298" s="31">
        <v>36854206</v>
      </c>
      <c r="N298" s="8"/>
      <c r="O298" s="107"/>
      <c r="P298" s="40"/>
      <c r="S298" s="77"/>
    </row>
    <row r="299" spans="1:19" s="10" customFormat="1" ht="12.75">
      <c r="A299" s="35" t="s">
        <v>7</v>
      </c>
      <c r="B299" s="35"/>
      <c r="C299" s="35"/>
      <c r="D299" s="71"/>
      <c r="E299" s="35"/>
      <c r="F299" s="35"/>
      <c r="G299" s="35"/>
      <c r="H299" s="35"/>
      <c r="I299" s="27"/>
      <c r="J299" s="31"/>
      <c r="K299" s="31">
        <f>SUM(K297:K298)</f>
        <v>224016354.16</v>
      </c>
      <c r="L299" s="31"/>
      <c r="M299" s="31">
        <v>153931491</v>
      </c>
      <c r="N299" s="98"/>
      <c r="O299" s="40"/>
      <c r="P299" s="40"/>
      <c r="S299" s="77"/>
    </row>
    <row r="300" spans="1:19" s="10" customFormat="1" ht="12.75">
      <c r="A300" s="35" t="s">
        <v>8</v>
      </c>
      <c r="B300" s="35"/>
      <c r="C300" s="35"/>
      <c r="D300" s="71"/>
      <c r="E300" s="35"/>
      <c r="F300" s="35"/>
      <c r="G300" s="35"/>
      <c r="H300" s="35"/>
      <c r="I300" s="27"/>
      <c r="J300" s="31"/>
      <c r="K300" s="31"/>
      <c r="L300" s="31"/>
      <c r="M300" s="31">
        <v>697474</v>
      </c>
      <c r="N300" s="8"/>
      <c r="O300" s="40"/>
      <c r="P300" s="40"/>
      <c r="S300" s="77"/>
    </row>
    <row r="301" spans="1:19" s="10" customFormat="1" ht="12.75">
      <c r="A301" s="35" t="s">
        <v>9</v>
      </c>
      <c r="B301" s="35"/>
      <c r="C301" s="35"/>
      <c r="D301" s="71"/>
      <c r="E301" s="35"/>
      <c r="F301" s="35"/>
      <c r="G301" s="35"/>
      <c r="H301" s="35"/>
      <c r="I301" s="27"/>
      <c r="J301" s="31" t="s">
        <v>70</v>
      </c>
      <c r="K301" s="31">
        <v>224016354.16</v>
      </c>
      <c r="L301" s="31"/>
      <c r="M301" s="31">
        <v>10440697</v>
      </c>
      <c r="N301" s="8"/>
      <c r="O301" s="40"/>
      <c r="P301" s="40"/>
      <c r="S301" s="77"/>
    </row>
    <row r="302" spans="1:19" s="10" customFormat="1" ht="12.75">
      <c r="A302" s="36"/>
      <c r="B302" s="36"/>
      <c r="C302" s="36"/>
      <c r="D302" s="72"/>
      <c r="E302" s="36"/>
      <c r="F302" s="36"/>
      <c r="G302" s="36"/>
      <c r="H302" s="36"/>
      <c r="I302" s="27"/>
      <c r="J302" s="31" t="s">
        <v>71</v>
      </c>
      <c r="K302" s="31">
        <f>H295</f>
        <v>260458927.71</v>
      </c>
      <c r="L302" s="31"/>
      <c r="M302" s="31">
        <f>SUM(M297:M301)</f>
        <v>210617454</v>
      </c>
      <c r="N302" s="27" t="s">
        <v>102</v>
      </c>
      <c r="O302" s="40"/>
      <c r="P302" s="40"/>
      <c r="S302" s="77"/>
    </row>
    <row r="303" spans="1:19" s="10" customFormat="1" ht="12.75">
      <c r="A303" s="35" t="s">
        <v>176</v>
      </c>
      <c r="B303" s="35"/>
      <c r="C303" s="35"/>
      <c r="D303" s="71"/>
      <c r="E303" s="35"/>
      <c r="F303" s="35"/>
      <c r="G303" s="35"/>
      <c r="H303" s="35"/>
      <c r="I303" s="27"/>
      <c r="J303" s="31" t="s">
        <v>72</v>
      </c>
      <c r="K303" s="31">
        <f>K301-K302</f>
        <v>-36442573.55000001</v>
      </c>
      <c r="L303" s="31"/>
      <c r="M303" s="31"/>
      <c r="N303" s="27"/>
      <c r="O303" s="40"/>
      <c r="P303" s="40"/>
      <c r="S303" s="77"/>
    </row>
    <row r="304" spans="4:19" s="10" customFormat="1" ht="12.75">
      <c r="D304" s="73"/>
      <c r="F304" s="8"/>
      <c r="G304" s="8"/>
      <c r="H304" s="8"/>
      <c r="I304" s="27"/>
      <c r="J304" s="31"/>
      <c r="K304" s="31"/>
      <c r="L304" s="31"/>
      <c r="M304" s="31"/>
      <c r="N304" s="27"/>
      <c r="O304" s="40"/>
      <c r="P304" s="40"/>
      <c r="S304" s="77"/>
    </row>
    <row r="305" spans="4:19" s="10" customFormat="1" ht="12.75">
      <c r="D305" s="73"/>
      <c r="F305" s="8"/>
      <c r="G305" s="8"/>
      <c r="H305" s="8"/>
      <c r="I305" s="27"/>
      <c r="J305" s="31"/>
      <c r="K305" s="31"/>
      <c r="L305" s="31"/>
      <c r="M305" s="27"/>
      <c r="N305" s="27"/>
      <c r="O305" s="40"/>
      <c r="P305" s="40"/>
      <c r="S305" s="77"/>
    </row>
    <row r="306" spans="1:8" ht="12.75">
      <c r="A306" s="11"/>
      <c r="B306" s="12"/>
      <c r="C306" s="12"/>
      <c r="D306" s="74"/>
      <c r="E306" s="12"/>
      <c r="F306" s="13" t="s">
        <v>10</v>
      </c>
      <c r="G306" s="13"/>
      <c r="H306" s="14" t="s">
        <v>12</v>
      </c>
    </row>
    <row r="307" spans="1:8" ht="12.75">
      <c r="A307" s="15" t="s">
        <v>13</v>
      </c>
      <c r="B307" s="16"/>
      <c r="C307" s="16"/>
      <c r="D307" s="75"/>
      <c r="E307" s="16"/>
      <c r="F307" s="17" t="s">
        <v>11</v>
      </c>
      <c r="G307" s="17"/>
      <c r="H307" s="18" t="s">
        <v>46</v>
      </c>
    </row>
    <row r="308" spans="1:9" ht="15">
      <c r="A308" s="19" t="s">
        <v>14</v>
      </c>
      <c r="B308" s="20"/>
      <c r="C308" s="20"/>
      <c r="D308" s="76"/>
      <c r="E308" s="21" t="s">
        <v>18</v>
      </c>
      <c r="F308" s="22">
        <f>H137+H131</f>
        <v>17649879</v>
      </c>
      <c r="G308" s="21" t="s">
        <v>18</v>
      </c>
      <c r="H308" s="25" t="s">
        <v>19</v>
      </c>
      <c r="I308" s="29"/>
    </row>
    <row r="309" spans="1:9" ht="15">
      <c r="A309" s="19" t="s">
        <v>15</v>
      </c>
      <c r="B309" s="20"/>
      <c r="C309" s="20"/>
      <c r="D309" s="76"/>
      <c r="E309" s="23"/>
      <c r="F309" s="24">
        <f>H246+H273</f>
        <v>223259235.3</v>
      </c>
      <c r="G309" s="24"/>
      <c r="H309" s="25" t="s">
        <v>19</v>
      </c>
      <c r="I309" s="29"/>
    </row>
    <row r="310" spans="1:9" ht="15">
      <c r="A310" s="19" t="s">
        <v>16</v>
      </c>
      <c r="B310" s="20"/>
      <c r="C310" s="20"/>
      <c r="D310" s="76"/>
      <c r="E310" s="23"/>
      <c r="F310" s="38">
        <f>H289</f>
        <v>2361880</v>
      </c>
      <c r="G310" s="21"/>
      <c r="H310" s="25" t="s">
        <v>19</v>
      </c>
      <c r="I310" s="30"/>
    </row>
    <row r="311" spans="1:10" ht="15">
      <c r="A311" s="26" t="s">
        <v>17</v>
      </c>
      <c r="B311" s="20"/>
      <c r="C311" s="20"/>
      <c r="D311" s="76"/>
      <c r="E311" s="21" t="s">
        <v>18</v>
      </c>
      <c r="F311" s="22">
        <f>SUM(F308:F310)</f>
        <v>243270994.3</v>
      </c>
      <c r="G311" s="21" t="s">
        <v>18</v>
      </c>
      <c r="H311" s="25" t="s">
        <v>19</v>
      </c>
      <c r="I311" s="29"/>
      <c r="J311" s="50"/>
    </row>
    <row r="312" ht="12.75">
      <c r="D312" s="73"/>
    </row>
    <row r="313" spans="1:19" s="52" customFormat="1" ht="12.75">
      <c r="A313" s="100" t="s">
        <v>20</v>
      </c>
      <c r="B313" s="100"/>
      <c r="C313" s="100"/>
      <c r="D313" s="101"/>
      <c r="E313" s="100"/>
      <c r="F313" s="100"/>
      <c r="G313" s="100"/>
      <c r="H313" s="100"/>
      <c r="I313" s="54"/>
      <c r="J313" s="50"/>
      <c r="K313" s="50"/>
      <c r="L313" s="50"/>
      <c r="M313" s="54"/>
      <c r="N313" s="54"/>
      <c r="O313" s="53"/>
      <c r="P313" s="53"/>
      <c r="S313" s="79"/>
    </row>
    <row r="314" spans="1:19" s="52" customFormat="1" ht="12.75">
      <c r="A314" s="100" t="s">
        <v>21</v>
      </c>
      <c r="B314" s="100"/>
      <c r="C314" s="100"/>
      <c r="D314" s="101"/>
      <c r="E314" s="100"/>
      <c r="F314" s="100"/>
      <c r="G314" s="100"/>
      <c r="H314" s="100"/>
      <c r="I314" s="54"/>
      <c r="J314" s="50"/>
      <c r="K314" s="50"/>
      <c r="L314" s="50"/>
      <c r="M314" s="54"/>
      <c r="N314" s="54"/>
      <c r="O314" s="53" t="s">
        <v>52</v>
      </c>
      <c r="P314" s="53">
        <f>H289</f>
        <v>2361880</v>
      </c>
      <c r="S314" s="79"/>
    </row>
    <row r="315" spans="1:19" s="52" customFormat="1" ht="12.75">
      <c r="A315" s="100" t="s">
        <v>22</v>
      </c>
      <c r="B315" s="100"/>
      <c r="C315" s="100"/>
      <c r="D315" s="101"/>
      <c r="E315" s="100"/>
      <c r="F315" s="100"/>
      <c r="G315" s="100"/>
      <c r="H315" s="100"/>
      <c r="I315" s="54"/>
      <c r="J315" s="50"/>
      <c r="K315" s="50"/>
      <c r="L315" s="50"/>
      <c r="M315" s="54"/>
      <c r="N315" s="54"/>
      <c r="O315" s="53" t="s">
        <v>45</v>
      </c>
      <c r="P315" s="102">
        <f>P314/H295</f>
        <v>0.009068147599186014</v>
      </c>
      <c r="S315" s="79"/>
    </row>
    <row r="316" spans="1:19" s="52" customFormat="1" ht="12.75">
      <c r="A316" s="100" t="s">
        <v>23</v>
      </c>
      <c r="B316" s="100"/>
      <c r="C316" s="100"/>
      <c r="D316" s="101"/>
      <c r="E316" s="100"/>
      <c r="F316" s="100"/>
      <c r="G316" s="100"/>
      <c r="H316" s="100"/>
      <c r="I316" s="54"/>
      <c r="J316" s="50"/>
      <c r="K316" s="50"/>
      <c r="L316" s="50"/>
      <c r="M316" s="54"/>
      <c r="N316" s="54"/>
      <c r="O316" s="53"/>
      <c r="P316" s="53"/>
      <c r="S316" s="79"/>
    </row>
    <row r="317" spans="1:19" s="52" customFormat="1" ht="12.75">
      <c r="A317" s="100"/>
      <c r="B317" s="100"/>
      <c r="C317" s="100"/>
      <c r="D317" s="101"/>
      <c r="E317" s="100"/>
      <c r="F317" s="100"/>
      <c r="G317" s="100"/>
      <c r="H317" s="100"/>
      <c r="I317" s="54"/>
      <c r="J317" s="50"/>
      <c r="K317" s="50"/>
      <c r="L317" s="50"/>
      <c r="M317" s="54"/>
      <c r="N317" s="54"/>
      <c r="O317" s="53"/>
      <c r="P317" s="53"/>
      <c r="S317" s="79"/>
    </row>
    <row r="318" spans="1:19" s="52" customFormat="1" ht="12.75">
      <c r="A318" s="52" t="s">
        <v>58</v>
      </c>
      <c r="D318" s="54"/>
      <c r="F318" s="51"/>
      <c r="G318" s="51"/>
      <c r="H318" s="51"/>
      <c r="I318" s="54"/>
      <c r="J318" s="50"/>
      <c r="K318" s="50"/>
      <c r="L318" s="50"/>
      <c r="M318" s="54"/>
      <c r="N318" s="54"/>
      <c r="O318" s="53" t="s">
        <v>51</v>
      </c>
      <c r="P318" s="31">
        <v>36352297</v>
      </c>
      <c r="S318" s="79"/>
    </row>
    <row r="319" spans="1:19" s="52" customFormat="1" ht="12.75">
      <c r="A319" s="103" t="s">
        <v>99</v>
      </c>
      <c r="B319" s="103"/>
      <c r="C319" s="103"/>
      <c r="D319" s="104"/>
      <c r="E319" s="103"/>
      <c r="F319" s="103"/>
      <c r="G319" s="103"/>
      <c r="H319" s="103"/>
      <c r="I319" s="54"/>
      <c r="J319" s="50"/>
      <c r="K319" s="50"/>
      <c r="L319" s="50"/>
      <c r="M319" s="54"/>
      <c r="N319" s="54"/>
      <c r="O319" s="53" t="s">
        <v>45</v>
      </c>
      <c r="P319" s="105">
        <f>P318/H295</f>
        <v>0.13957017069683766</v>
      </c>
      <c r="S319" s="79"/>
    </row>
    <row r="320" spans="1:19" s="52" customFormat="1" ht="41.25" customHeight="1">
      <c r="A320" s="115" t="s">
        <v>179</v>
      </c>
      <c r="B320" s="115"/>
      <c r="C320" s="115"/>
      <c r="D320" s="115"/>
      <c r="E320" s="115"/>
      <c r="F320" s="115"/>
      <c r="G320" s="51"/>
      <c r="H320" s="51"/>
      <c r="I320" s="54"/>
      <c r="J320" s="50"/>
      <c r="K320" s="50"/>
      <c r="L320" s="50"/>
      <c r="M320" s="54"/>
      <c r="N320" s="54"/>
      <c r="O320" s="53"/>
      <c r="P320" s="53"/>
      <c r="S320" s="79"/>
    </row>
    <row r="321" spans="1:19" s="52" customFormat="1" ht="12.75">
      <c r="A321" s="52" t="s">
        <v>49</v>
      </c>
      <c r="D321" s="54"/>
      <c r="F321" s="49"/>
      <c r="G321" s="51"/>
      <c r="H321" s="51"/>
      <c r="I321" s="54"/>
      <c r="J321" s="50"/>
      <c r="K321" s="50"/>
      <c r="L321" s="50"/>
      <c r="M321" s="54"/>
      <c r="N321" s="54"/>
      <c r="O321" s="53"/>
      <c r="P321" s="53"/>
      <c r="S321" s="79"/>
    </row>
    <row r="322" spans="1:19" s="52" customFormat="1" ht="12.75">
      <c r="A322" s="52" t="s">
        <v>50</v>
      </c>
      <c r="D322" s="54"/>
      <c r="F322" s="49"/>
      <c r="G322" s="51"/>
      <c r="H322" s="51"/>
      <c r="I322" s="54"/>
      <c r="J322" s="50"/>
      <c r="K322" s="50"/>
      <c r="L322" s="50"/>
      <c r="M322" s="54"/>
      <c r="N322" s="54"/>
      <c r="O322" s="53"/>
      <c r="P322" s="53"/>
      <c r="S322" s="79"/>
    </row>
    <row r="323" spans="1:19" s="52" customFormat="1" ht="40.5" customHeight="1">
      <c r="A323" s="115" t="s">
        <v>180</v>
      </c>
      <c r="B323" s="115"/>
      <c r="C323" s="115"/>
      <c r="D323" s="115"/>
      <c r="E323" s="115"/>
      <c r="F323" s="115"/>
      <c r="G323" s="51"/>
      <c r="H323" s="51"/>
      <c r="I323" s="54"/>
      <c r="J323" s="50"/>
      <c r="K323" s="50"/>
      <c r="L323" s="50"/>
      <c r="M323" s="54"/>
      <c r="N323" s="54"/>
      <c r="O323" s="53"/>
      <c r="P323" s="53"/>
      <c r="S323" s="79"/>
    </row>
    <row r="324" spans="4:19" s="52" customFormat="1" ht="12.75">
      <c r="D324" s="54"/>
      <c r="F324" s="51"/>
      <c r="G324" s="51"/>
      <c r="H324" s="51"/>
      <c r="I324" s="54"/>
      <c r="J324" s="50"/>
      <c r="K324" s="50"/>
      <c r="L324" s="50"/>
      <c r="M324" s="54"/>
      <c r="N324" s="54"/>
      <c r="O324" s="53"/>
      <c r="P324" s="53"/>
      <c r="S324" s="79"/>
    </row>
    <row r="325" spans="4:19" s="52" customFormat="1" ht="12.75">
      <c r="D325" s="54"/>
      <c r="F325" s="51"/>
      <c r="G325" s="51"/>
      <c r="H325" s="51"/>
      <c r="I325" s="54"/>
      <c r="J325" s="50"/>
      <c r="K325" s="50"/>
      <c r="L325" s="50"/>
      <c r="M325" s="54"/>
      <c r="N325" s="54"/>
      <c r="O325" s="53"/>
      <c r="P325" s="53"/>
      <c r="S325" s="79"/>
    </row>
    <row r="326" spans="4:19" s="52" customFormat="1" ht="12.75">
      <c r="D326" s="54"/>
      <c r="F326" s="51"/>
      <c r="G326" s="51"/>
      <c r="H326" s="51"/>
      <c r="I326" s="54"/>
      <c r="J326" s="50"/>
      <c r="K326" s="50"/>
      <c r="L326" s="50"/>
      <c r="M326" s="54"/>
      <c r="N326" s="54"/>
      <c r="O326" s="53"/>
      <c r="P326" s="53"/>
      <c r="S326" s="79"/>
    </row>
    <row r="327" spans="6:17" ht="12.75">
      <c r="F327" s="96"/>
      <c r="H327" s="97"/>
      <c r="I327" s="54"/>
      <c r="J327" s="50"/>
      <c r="K327" s="50"/>
      <c r="L327" s="50"/>
      <c r="M327" s="54"/>
      <c r="N327" s="54"/>
      <c r="O327" s="53"/>
      <c r="P327" s="53"/>
      <c r="Q327" s="52"/>
    </row>
  </sheetData>
  <sheetProtection/>
  <mergeCells count="5">
    <mergeCell ref="A1:H1"/>
    <mergeCell ref="A2:H2"/>
    <mergeCell ref="A3:H3"/>
    <mergeCell ref="A320:F320"/>
    <mergeCell ref="A323:F323"/>
  </mergeCells>
  <printOptions/>
  <pageMargins left="0.75" right="0.75" top="1" bottom="1" header="0.5" footer="0.5"/>
  <pageSetup horizontalDpi="600" verticalDpi="600" orientation="landscape" scale="58" r:id="rId1"/>
  <rowBreaks count="1" manualBreakCount="1">
    <brk id="198" max="7"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SMW-PC1</dc:creator>
  <cp:keywords/>
  <dc:description/>
  <cp:lastModifiedBy>Greg Getts</cp:lastModifiedBy>
  <cp:lastPrinted>2021-11-17T16:39:21Z</cp:lastPrinted>
  <dcterms:created xsi:type="dcterms:W3CDTF">2020-03-31T17:01:31Z</dcterms:created>
  <dcterms:modified xsi:type="dcterms:W3CDTF">2024-05-13T17:54:16Z</dcterms:modified>
  <cp:category/>
  <cp:version/>
  <cp:contentType/>
  <cp:contentStatus/>
</cp:coreProperties>
</file>