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570" windowHeight="11640" activeTab="0"/>
  </bookViews>
  <sheets>
    <sheet name="Wise" sheetId="1" r:id="rId1"/>
  </sheets>
  <definedNames>
    <definedName name="_xlfn.ANCHORARRAY" hidden="1">#NAME?</definedName>
  </definedNames>
  <calcPr fullCalcOnLoad="1"/>
</workbook>
</file>

<file path=xl/sharedStrings.xml><?xml version="1.0" encoding="utf-8"?>
<sst xmlns="http://schemas.openxmlformats.org/spreadsheetml/2006/main" count="178" uniqueCount="163">
  <si>
    <t>Schedule of Investments</t>
  </si>
  <si>
    <t>Fair Value ($)(1)</t>
  </si>
  <si>
    <t>Shares or Principal</t>
  </si>
  <si>
    <t>Amount ($)</t>
  </si>
  <si>
    <t>Security Description</t>
  </si>
  <si>
    <t>Total Common Stocks</t>
  </si>
  <si>
    <r>
      <t xml:space="preserve">(1)  </t>
    </r>
    <r>
      <rPr>
        <b/>
        <i/>
        <sz val="10"/>
        <rFont val="Times New Roman"/>
        <family val="1"/>
      </rPr>
      <t>Statement on Financial Accounting Standard No. 157 "Fair Value Measurements"</t>
    </r>
    <r>
      <rPr>
        <sz val="10"/>
        <rFont val="Times New Roman"/>
        <family val="1"/>
      </rPr>
      <t xml:space="preserve"> - Various inputs are used in determining the value of the Fund's investments.</t>
    </r>
  </si>
  <si>
    <t xml:space="preserve">        • Level 1 - quoted prices in active markets for identical securities</t>
  </si>
  <si>
    <t xml:space="preserve">        • Level 2 - other significant observable inputs (including quoted prices for similar securities, interest rates, prepayment speeds, credit risk, etc.)</t>
  </si>
  <si>
    <t xml:space="preserve">        • Level 3 - significant unobservable inputs (including the Fund's own assumptions in determining the fair value of investments)</t>
  </si>
  <si>
    <t xml:space="preserve">Investments in </t>
  </si>
  <si>
    <t>Securities</t>
  </si>
  <si>
    <t>Other Financial</t>
  </si>
  <si>
    <t>Valuation Inputs</t>
  </si>
  <si>
    <t>Level 1 - Quoted Prices</t>
  </si>
  <si>
    <t>Level 2 - Other Significant Observable Inputs</t>
  </si>
  <si>
    <t>Level 3 - Significant Unobservable Inputs</t>
  </si>
  <si>
    <t>Total</t>
  </si>
  <si>
    <t>$</t>
  </si>
  <si>
    <t>-</t>
  </si>
  <si>
    <t xml:space="preserve">       The inputs or methodology used for valuing securities are not necessarily an indication of the risk associated with investing in those securities. For example, short-term</t>
  </si>
  <si>
    <t xml:space="preserve">       debt instruments and repurchase agreements with a maturity of less than 60 days are valued using amortized cost, in accordance with rules under the Investment</t>
  </si>
  <si>
    <t xml:space="preserve">       Company Act of 1940. Generally, amortized cost approximates the current fair value of a security, but since the value is not obtained from a quoted price in an active</t>
  </si>
  <si>
    <t xml:space="preserve">       market, such securities are reflected as Level 2.</t>
  </si>
  <si>
    <t>(2)  Represents non-income producing securities.</t>
  </si>
  <si>
    <t>Total Trade Finance Agreements</t>
  </si>
  <si>
    <t>Total Bank Time Deposits</t>
  </si>
  <si>
    <t xml:space="preserve">       These inputs are summarized in the three broad levels listed below.</t>
  </si>
  <si>
    <t>Clorox Co.</t>
  </si>
  <si>
    <t>W.W. Grainger, Inc.</t>
  </si>
  <si>
    <t>McCormick &amp; Co., Inc.</t>
  </si>
  <si>
    <t>Expeditors International of Washington, Inc.</t>
  </si>
  <si>
    <t>Coca Cola Co.</t>
  </si>
  <si>
    <t>PepsiCo., Inc.</t>
  </si>
  <si>
    <t>Dover Corp.</t>
  </si>
  <si>
    <t>Kimberly Clark Corp.</t>
  </si>
  <si>
    <t>Stanley Black &amp; Decker, Inc.</t>
  </si>
  <si>
    <t>Emerson Electric Co.</t>
  </si>
  <si>
    <t>Illinois Tool Works, Inc.</t>
  </si>
  <si>
    <t>Smith A O Corp.</t>
  </si>
  <si>
    <t>Air Products &amp; Chemicals, Inc.</t>
  </si>
  <si>
    <t>Roper Industries, Inc.</t>
  </si>
  <si>
    <t>Cintas Corp.</t>
  </si>
  <si>
    <t>VF Corp.</t>
  </si>
  <si>
    <t>Atmos Energy Corp.</t>
  </si>
  <si>
    <t>Colgate Palmolive Co.</t>
  </si>
  <si>
    <t>Abbott Laboratories</t>
  </si>
  <si>
    <t>Johnson &amp; Johnson</t>
  </si>
  <si>
    <t>Albemarle Corp.</t>
  </si>
  <si>
    <t>Sherwin Williams Co.</t>
  </si>
  <si>
    <t>Ross Stores, Inc.</t>
  </si>
  <si>
    <t>Lowes Companies, Inc.</t>
  </si>
  <si>
    <t>Target Corp.</t>
  </si>
  <si>
    <t>Automatic Data Processing, Inc.</t>
  </si>
  <si>
    <t>Ecolab, Inc.</t>
  </si>
  <si>
    <t>The Procter &amp; Gamble Co.</t>
  </si>
  <si>
    <t>3M Co.</t>
  </si>
  <si>
    <t>Becton Dickinson &amp; Co.</t>
  </si>
  <si>
    <t>Sysco Corp.</t>
  </si>
  <si>
    <t>Genuine Parts Co.</t>
  </si>
  <si>
    <t>Axiata Spv2 Bhd, Series REGS, 3.466%, 11/19/2020 (Malaysia)</t>
  </si>
  <si>
    <t>FAB Sukuk Co. Ltd., REGS, 3.625%, 03/05/2023 (United Arab Emirates)</t>
  </si>
  <si>
    <t>Almarai Sukuk, Ltd., 4.311%, 03/05/2024 (Cayman Islands)</t>
  </si>
  <si>
    <t>Dar Al-Arkan International Sukuk Co., REGS, 6.875%, 03/21/2023 (Cayman Islands)</t>
  </si>
  <si>
    <t>DIFC Investments LLC, Note, Series REGS, 4.325% 11/12/2024 (United Arab Emirates)</t>
  </si>
  <si>
    <t>Linde AG PLC (Ireland)</t>
  </si>
  <si>
    <t>Medtronic PLC (Ireland)</t>
  </si>
  <si>
    <t>Pentair PLC (Ireland)</t>
  </si>
  <si>
    <t>Equate Sukuk Spc Ltd. REGS, 3.944%, 02/21/2024  (Kuwait)</t>
  </si>
  <si>
    <t>RAK Capital, 3.094%, 03/31/2025 (Cayman Islands)</t>
  </si>
  <si>
    <t>Saudi Electricity Global Sukuk, Series REGS, 4.211%, 04/03/2022 (Cayman Islands)</t>
  </si>
  <si>
    <t>DP World Cresent, Ltd, Sr. Unsecd. Note, Series REGS, 3.908%, 05/31/2023 (Cayman Islands)</t>
  </si>
  <si>
    <t>Saudi Telecom Co., Series 144A, 3.890%, 05/13/2029 (Saudi Arabia)</t>
  </si>
  <si>
    <t>Acquisition</t>
  </si>
  <si>
    <t>Value</t>
  </si>
  <si>
    <t>Total Sukuks</t>
  </si>
  <si>
    <t>percent of net assets</t>
  </si>
  <si>
    <t>Instruments</t>
  </si>
  <si>
    <t>Date (3)</t>
  </si>
  <si>
    <t>Cost (3)</t>
  </si>
  <si>
    <t>(4) Floating/variable note with current rate and current maturity or next reset date shown.</t>
  </si>
  <si>
    <t>(5) Variable rate instrument, varying maturity dates ranging from one month to nine months; 7 day demand redemption clause per deposit.</t>
  </si>
  <si>
    <t>(6) total currents</t>
  </si>
  <si>
    <t>(3) total currents</t>
  </si>
  <si>
    <t>Azzad Wise Capital Fund</t>
  </si>
  <si>
    <t>September 30, 2020 (unaudited)</t>
  </si>
  <si>
    <t xml:space="preserve">       The following is a summary of the inputs used as of September 30, 2020 in valuing the Fund's assets carried at fair value:</t>
  </si>
  <si>
    <t>(3) Denotes a restricted security that either: (a) cannot be offered for public sale without first being registered, or availing of an exemption from registration, under the Securities Act of 1933; or (b) is subject to a contractual restriction on public sales. At September 30, 2020, these restricted securities amounted to $5,856,416, which represented 4.27% of total net assets.</t>
  </si>
  <si>
    <t>(6) Denotes a restricted security that may be sold without restriction to "qualified institutional buyers" as defined in Rule 144A under the Securities Act of 1933 and that the Fund has determined to be liquid under criteria established by the Fund's Board of Trustees.  At September 30, 2020 these liquid restricted securities amount to $16,503,663, which represented 12.04% of total net assets.</t>
  </si>
  <si>
    <t>DIB Sukuk Ltd. Sr. Unsecured Note 3.664% 2/14/22</t>
  </si>
  <si>
    <t>DIB Sukuk Ltd, 3.6%, 3/30/2021</t>
  </si>
  <si>
    <t>Hazine Mustesarligi Varli, 4.251%, 06/08/2021</t>
  </si>
  <si>
    <t>Hazine Mustesaligi Carli, 5.004%, 04/06/2023</t>
  </si>
  <si>
    <t>Hazine Mustesarligi Varli, 5.8% 02/21/2022</t>
  </si>
  <si>
    <t>CBB International Sukuk Programme 6.25%, 11/14/2024</t>
  </si>
  <si>
    <t>CBB International Sukuk Six, REGS, 5.250%, 03/20/2025</t>
  </si>
  <si>
    <t>CBB International Sukuk Programme 3.95%, 9/16/2027</t>
  </si>
  <si>
    <t>Indonesia, Government of, 3.4%, 03/29/2022</t>
  </si>
  <si>
    <t>Indonesia, Government of, Series 144A, 4.15%, 03/29/2027</t>
  </si>
  <si>
    <t>Indonesia, Government of, Series 144A, 3.9%, 8/20/2024</t>
  </si>
  <si>
    <t>KSA Sukuk Ltd., 2.894%, 04/20/2022</t>
  </si>
  <si>
    <t>KSA Sukuk Ltd., 4.303%, 01/19/2029</t>
  </si>
  <si>
    <t>KSA Sukuk Ltd. 2.969%, 10/29/2029</t>
  </si>
  <si>
    <t>Oman, Government, Series 144A, 4.397%, 06/01/2024</t>
  </si>
  <si>
    <t>Oman, Government, Series 144A, 5.932%, 10/31/2025</t>
  </si>
  <si>
    <t>Perusahaan Penerbit SBSN Indonesia III Trust, 2.3%, 06/23/2025</t>
  </si>
  <si>
    <t>Perusahaan Penerbit SBSN Indonesia III Trust, 3.3%, 11/21/2022</t>
  </si>
  <si>
    <t>Apicorp, 2.383%, 10/28/2020</t>
  </si>
  <si>
    <t>Sharjah Sukuk 2 Ltd. 3.839% 1/27/2021</t>
  </si>
  <si>
    <t>QIB Sukuk LTD, 2.754%, 10/27/20</t>
  </si>
  <si>
    <t>QIB Sukuk LTD, 3.251%, 5/23/2022</t>
  </si>
  <si>
    <t>ICD Sukuk Co. Ltd Sr. Unsecured Note Series EMTN, 5%, 02/01/2027</t>
  </si>
  <si>
    <t>Government of Burkina Faso, 4.938% (6-MONTH US LIBOR +2.80%), 2/17/2021 DD2</t>
  </si>
  <si>
    <t>PT Pacific Indopalm Industries, 3.66% (3-MONTH US LIBOR + 2.50%), 12/31/2020 DD1</t>
  </si>
  <si>
    <t>Government of Burkina Faso, 3.01663% (6 MONTH LIBOR + 2.80%), 11/23/2020 DD3</t>
  </si>
  <si>
    <t>Government of Burkina Faso, 3.01663%(6 MONTH LIBOR + 2.80%), 2/22/2021 DD3</t>
  </si>
  <si>
    <t>Government of Burkina Faso, 3.01663% (6-MONTH US LIBOR +2.80%), 10/29/2020 DD1</t>
  </si>
  <si>
    <t>African Export Import Bank (4-MONTH LIBOR + 1%), 1.561626%, 6/18/2021 DD1</t>
  </si>
  <si>
    <t>Government of Djibout, 3.5434344% (2-MONTH US LIBOR +3.80%), 10/13/2020 DD36</t>
  </si>
  <si>
    <t>Government of Egypt 2.3944196% 09/17/2021 (12-MONTH US LIBOR +2.20%)  DD1</t>
  </si>
  <si>
    <t>Government of Egypt 2.3944196% 09/17/2021 (12-MONTH US LIBOR +2.20%) DD2</t>
  </si>
  <si>
    <t>Government of Egypt 2.3944196% 09/17/2021 (12-MONTH US LIBOR +2.20%) DD3</t>
  </si>
  <si>
    <t>Government of Egypt 2.37889% 09/20/2021 (12-MONTH US LIBOR +2.20%) DD4</t>
  </si>
  <si>
    <t>Government of Egypt 2.37889% 09/20/2021 (12-MONTH US LIBOR +2.20%) DD5</t>
  </si>
  <si>
    <t>Government of Egypt 2.37889% 09/24/2021 (12-MONTH US LIBOR +2.20%) DD6</t>
  </si>
  <si>
    <t>Government of Tunisia Electricity, 2.137725%, 3/22/2021 (US LIBOR + 2.10%) DD1.3</t>
  </si>
  <si>
    <t>Government of Burkina Faso, 3.01663% (6 MONTH LIBOR + 2.80%), 11/19/2020 DD2</t>
  </si>
  <si>
    <t>Tunisian Refining Industries Company, 2.635767% (US LIBOR + 2.10%), 5/4/2021 DD1</t>
  </si>
  <si>
    <t>Tunisian Refining Industries Company, 2.536425% (US LIBOR + 2.10%), 5/17/2021 DD2</t>
  </si>
  <si>
    <t>Government of Burkina Faso, 3.01663% (6 MONTH LIBOR + 2.80%), 01/27/2021 DD1</t>
  </si>
  <si>
    <t>Government of Maldives, 3.80556% (4-MONTH LIBOR + 3.1%), 10/6/2020 DD79</t>
  </si>
  <si>
    <t>Turk Eximbank, 2.7961654% (INTERPOLATED LIBOR +1.10%), 11/16/2020 DD1</t>
  </si>
  <si>
    <t>(Cost $                7,738,549)</t>
  </si>
  <si>
    <t>Sib Sukuk Co., 3.084%, 09/08/2021</t>
  </si>
  <si>
    <t>AHB Sukuk Company Ltd. 4.375% 09/19/2023</t>
  </si>
  <si>
    <t>Tabreed Sukuk SPC Ltd., Sr. Unsecd. Note, 5.5%, 10/31/2025</t>
  </si>
  <si>
    <t>Esic Sukuk Ltd. Sr. Unsecured Note, Series EMTN, 3.939%, 7/30/2024</t>
  </si>
  <si>
    <t>EMAARM Sukuk LTD, 4.564%, 06/18/2024</t>
  </si>
  <si>
    <t>Sharjah Sukuk Program,  3.854%, 4/3/2026</t>
  </si>
  <si>
    <t>Wakala Global Sukuk BHD, 4.646%, 7/6/2021</t>
  </si>
  <si>
    <t>ALdar Sukuk Ltd., Sr. Unsecured Note, 4.75%, 9/29/2025</t>
  </si>
  <si>
    <t>Apicorp Sukuk Limited 3.141% 11/1/2022</t>
  </si>
  <si>
    <t>IDB Trust Services LTD, 1.957%, 10/02/2024</t>
  </si>
  <si>
    <t>IDB Trust Services LTD, 3.389%, 09/26/2023</t>
  </si>
  <si>
    <t>(Cost             $108,588,662)</t>
  </si>
  <si>
    <t>(Cost                $23,884,640)</t>
  </si>
  <si>
    <t>(Cost $                5,306,542)</t>
  </si>
  <si>
    <t>cash ck</t>
  </si>
  <si>
    <t>acc int</t>
  </si>
  <si>
    <t>acc div</t>
  </si>
  <si>
    <t>ppd bs</t>
  </si>
  <si>
    <t>ppd ins</t>
  </si>
  <si>
    <t>rec from adv</t>
  </si>
  <si>
    <t>tot lia</t>
  </si>
  <si>
    <t>bal</t>
  </si>
  <si>
    <t>cash hunt</t>
  </si>
  <si>
    <t>9/30 sub</t>
  </si>
  <si>
    <t>other assets less lia</t>
  </si>
  <si>
    <t>9/30 nport tab b total  net assets</t>
  </si>
  <si>
    <t>trial</t>
  </si>
  <si>
    <t>Div reinvest</t>
  </si>
  <si>
    <t>subscription 9/30</t>
  </si>
  <si>
    <t>(Cost             $145,518,393)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</si>
</sst>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d\,\ yyyy"/>
    <numFmt numFmtId="169" formatCode="&quot;$&quot;* #,##0"/>
    <numFmt numFmtId="170" formatCode="* #,##0"/>
    <numFmt numFmtId="171" formatCode="0.0%"/>
    <numFmt numFmtId="172" formatCode="0.000%"/>
    <numFmt numFmtId="173" formatCode="0.0000%"/>
    <numFmt numFmtId="174" formatCode="0.00000%"/>
    <numFmt numFmtId="175" formatCode="0.000000%"/>
    <numFmt numFmtId="176" formatCode="[$-409]h:mm:ss\ AM/PM"/>
    <numFmt numFmtId="177" formatCode="#,##0.00;\(#,##0.00\)"/>
    <numFmt numFmtId="178" formatCode="#,##0.000;\(#,##0.000\)"/>
  </numFmts>
  <fonts count="32">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u val="single"/>
      <sz val="10"/>
      <name val="Times New Roman"/>
      <family val="1"/>
    </font>
    <font>
      <b/>
      <sz val="10"/>
      <color indexed="9"/>
      <name val="Times New Roman"/>
      <family val="1"/>
    </font>
    <font>
      <b/>
      <i/>
      <sz val="10"/>
      <name val="Times New Roman"/>
      <family val="1"/>
    </font>
    <font>
      <sz val="11"/>
      <color indexed="8"/>
      <name val="Times New Roman"/>
      <family val="1"/>
    </font>
    <font>
      <sz val="10"/>
      <color indexed="8"/>
      <name val="Times New Roman"/>
      <family val="1"/>
    </font>
    <font>
      <sz val="11"/>
      <name val="Times New Roman"/>
      <family val="1"/>
    </font>
    <font>
      <sz val="10"/>
      <color indexed="8"/>
      <name val="Arial"/>
      <family val="2"/>
    </font>
    <font>
      <sz val="8"/>
      <color indexed="8"/>
      <name val="Verdana"/>
      <family val="2"/>
    </font>
    <font>
      <sz val="8"/>
      <color theme="1"/>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rgb="FFCC66FF"/>
        <bgColor indexed="64"/>
      </patternFill>
    </fill>
    <fill>
      <patternFill patternType="solid">
        <fgColor theme="8" tint="0.39998000860214233"/>
        <bgColor indexed="64"/>
      </patternFill>
    </fill>
    <fill>
      <patternFill patternType="solid">
        <fgColor rgb="FFFFFF00"/>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 fillId="0" borderId="0">
      <alignment/>
      <protection/>
    </xf>
    <xf numFmtId="0" fontId="2"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6">
    <xf numFmtId="0" fontId="0" fillId="0" borderId="0" xfId="0" applyAlignment="1">
      <alignment/>
    </xf>
    <xf numFmtId="0" fontId="22" fillId="0" borderId="0" xfId="0" applyFont="1" applyAlignment="1">
      <alignment/>
    </xf>
    <xf numFmtId="0" fontId="21" fillId="0" borderId="0" xfId="0" applyFont="1" applyAlignment="1">
      <alignment/>
    </xf>
    <xf numFmtId="0" fontId="21" fillId="0" borderId="10" xfId="0" applyFont="1" applyBorder="1" applyAlignment="1">
      <alignment horizontal="center"/>
    </xf>
    <xf numFmtId="0" fontId="22" fillId="0" borderId="0" xfId="0" applyFont="1" applyBorder="1" applyAlignment="1">
      <alignment horizontal="left"/>
    </xf>
    <xf numFmtId="37" fontId="21" fillId="0" borderId="0" xfId="0" applyNumberFormat="1" applyFont="1" applyAlignment="1">
      <alignment horizontal="center"/>
    </xf>
    <xf numFmtId="37" fontId="21" fillId="0" borderId="0" xfId="0" applyNumberFormat="1" applyFont="1" applyAlignment="1">
      <alignment horizontal="right"/>
    </xf>
    <xf numFmtId="37" fontId="21" fillId="0" borderId="10" xfId="0" applyNumberFormat="1" applyFont="1" applyBorder="1" applyAlignment="1">
      <alignment horizontal="right"/>
    </xf>
    <xf numFmtId="37" fontId="22" fillId="0" borderId="0" xfId="0" applyNumberFormat="1" applyFont="1" applyAlignment="1">
      <alignment horizontal="right"/>
    </xf>
    <xf numFmtId="0" fontId="21" fillId="0" borderId="0" xfId="0" applyFont="1" applyBorder="1" applyAlignment="1">
      <alignment horizontal="center"/>
    </xf>
    <xf numFmtId="37" fontId="22" fillId="0" borderId="0" xfId="0" applyNumberFormat="1" applyFont="1" applyAlignment="1">
      <alignment/>
    </xf>
    <xf numFmtId="0" fontId="22" fillId="0" borderId="11" xfId="0" applyFont="1" applyBorder="1" applyAlignment="1">
      <alignment/>
    </xf>
    <xf numFmtId="0" fontId="22" fillId="0" borderId="12" xfId="0" applyFont="1" applyBorder="1" applyAlignment="1">
      <alignment/>
    </xf>
    <xf numFmtId="0" fontId="27" fillId="0" borderId="12" xfId="0" applyFont="1" applyBorder="1" applyAlignment="1">
      <alignment horizontal="center"/>
    </xf>
    <xf numFmtId="37" fontId="22" fillId="0" borderId="13" xfId="0" applyNumberFormat="1" applyFont="1" applyBorder="1" applyAlignment="1">
      <alignment horizontal="center"/>
    </xf>
    <xf numFmtId="0" fontId="22" fillId="0" borderId="14" xfId="0" applyFont="1" applyBorder="1" applyAlignment="1">
      <alignment/>
    </xf>
    <xf numFmtId="0" fontId="22" fillId="0" borderId="10" xfId="0" applyFont="1" applyBorder="1" applyAlignment="1">
      <alignment/>
    </xf>
    <xf numFmtId="0" fontId="27" fillId="0" borderId="10" xfId="0" applyFont="1" applyBorder="1" applyAlignment="1">
      <alignment horizontal="center"/>
    </xf>
    <xf numFmtId="37" fontId="22" fillId="0" borderId="15" xfId="0" applyNumberFormat="1" applyFont="1" applyBorder="1" applyAlignment="1">
      <alignment horizontal="center"/>
    </xf>
    <xf numFmtId="0" fontId="27" fillId="0" borderId="16" xfId="0" applyFont="1" applyBorder="1" applyAlignment="1">
      <alignment/>
    </xf>
    <xf numFmtId="0" fontId="22" fillId="0" borderId="17" xfId="0" applyFont="1" applyBorder="1" applyAlignment="1">
      <alignment/>
    </xf>
    <xf numFmtId="0" fontId="28" fillId="0" borderId="17" xfId="0" applyFont="1" applyFill="1" applyBorder="1" applyAlignment="1">
      <alignment horizontal="right" wrapText="1"/>
    </xf>
    <xf numFmtId="3" fontId="28" fillId="0" borderId="17" xfId="0" applyNumberFormat="1" applyFont="1" applyFill="1" applyBorder="1" applyAlignment="1">
      <alignment horizontal="right" wrapText="1"/>
    </xf>
    <xf numFmtId="0" fontId="22" fillId="0" borderId="17" xfId="0" applyFont="1" applyFill="1" applyBorder="1" applyAlignment="1">
      <alignment/>
    </xf>
    <xf numFmtId="3" fontId="26" fillId="0" borderId="17" xfId="0" applyNumberFormat="1" applyFont="1" applyFill="1" applyBorder="1" applyAlignment="1">
      <alignment/>
    </xf>
    <xf numFmtId="0" fontId="28" fillId="0" borderId="18" xfId="0" applyFont="1" applyFill="1" applyBorder="1" applyAlignment="1">
      <alignment horizontal="right" wrapText="1"/>
    </xf>
    <xf numFmtId="0" fontId="22" fillId="0" borderId="16" xfId="0" applyFont="1" applyBorder="1" applyAlignment="1">
      <alignment/>
    </xf>
    <xf numFmtId="10" fontId="22" fillId="0" borderId="0" xfId="0" applyNumberFormat="1" applyFont="1" applyAlignment="1">
      <alignment/>
    </xf>
    <xf numFmtId="10" fontId="21" fillId="0" borderId="0" xfId="0" applyNumberFormat="1" applyFont="1" applyAlignment="1">
      <alignment/>
    </xf>
    <xf numFmtId="10" fontId="22" fillId="0" borderId="0" xfId="0" applyNumberFormat="1" applyFont="1" applyFill="1" applyBorder="1" applyAlignment="1">
      <alignment/>
    </xf>
    <xf numFmtId="10" fontId="28" fillId="0" borderId="0" xfId="0" applyNumberFormat="1" applyFont="1" applyFill="1" applyBorder="1" applyAlignment="1">
      <alignment horizontal="left"/>
    </xf>
    <xf numFmtId="39" fontId="22" fillId="0" borderId="0" xfId="0" applyNumberFormat="1" applyFont="1" applyAlignment="1">
      <alignment/>
    </xf>
    <xf numFmtId="39" fontId="21" fillId="0" borderId="0" xfId="0" applyNumberFormat="1" applyFont="1" applyAlignment="1">
      <alignment/>
    </xf>
    <xf numFmtId="0" fontId="22" fillId="0" borderId="0" xfId="0" applyFont="1" applyBorder="1" applyAlignment="1">
      <alignment/>
    </xf>
    <xf numFmtId="0" fontId="22" fillId="0" borderId="0" xfId="0" applyFont="1" applyAlignment="1">
      <alignment horizontal="left"/>
    </xf>
    <xf numFmtId="0" fontId="24" fillId="24" borderId="0" xfId="60" applyFont="1" applyFill="1" applyAlignment="1">
      <alignment horizontal="left"/>
      <protection/>
    </xf>
    <xf numFmtId="0" fontId="27" fillId="0" borderId="0" xfId="0" applyFont="1" applyAlignment="1">
      <alignment horizontal="left"/>
    </xf>
    <xf numFmtId="37" fontId="22" fillId="0" borderId="0" xfId="0" applyNumberFormat="1" applyFont="1" applyAlignment="1">
      <alignment horizontal="center"/>
    </xf>
    <xf numFmtId="37" fontId="22" fillId="0" borderId="0" xfId="0" applyNumberFormat="1" applyFont="1" applyAlignment="1">
      <alignment horizontal="left"/>
    </xf>
    <xf numFmtId="37" fontId="28" fillId="0" borderId="17" xfId="0" applyNumberFormat="1" applyFont="1" applyFill="1" applyBorder="1" applyAlignment="1">
      <alignment horizontal="right" wrapText="1"/>
    </xf>
    <xf numFmtId="4" fontId="21" fillId="0" borderId="0" xfId="0" applyNumberFormat="1" applyFont="1" applyAlignment="1">
      <alignment/>
    </xf>
    <xf numFmtId="4" fontId="22" fillId="0" borderId="0" xfId="0" applyNumberFormat="1" applyFont="1" applyAlignment="1">
      <alignment/>
    </xf>
    <xf numFmtId="0" fontId="23" fillId="0" borderId="0" xfId="0" applyFont="1" applyBorder="1" applyAlignment="1">
      <alignment horizontal="right"/>
    </xf>
    <xf numFmtId="0" fontId="21" fillId="0" borderId="0" xfId="0" applyFont="1" applyBorder="1" applyAlignment="1">
      <alignment horizontal="right"/>
    </xf>
    <xf numFmtId="14" fontId="22" fillId="0" borderId="0" xfId="0" applyNumberFormat="1" applyFont="1" applyBorder="1" applyAlignment="1">
      <alignment/>
    </xf>
    <xf numFmtId="37" fontId="23" fillId="0" borderId="0" xfId="0" applyNumberFormat="1" applyFont="1" applyAlignment="1">
      <alignment horizontal="right"/>
    </xf>
    <xf numFmtId="0" fontId="22" fillId="0" borderId="0" xfId="0" applyFont="1" applyAlignment="1">
      <alignment/>
    </xf>
    <xf numFmtId="0" fontId="21" fillId="0" borderId="0" xfId="0" applyFont="1" applyBorder="1" applyAlignment="1">
      <alignment/>
    </xf>
    <xf numFmtId="0" fontId="21" fillId="0" borderId="12" xfId="0" applyFont="1" applyBorder="1" applyAlignment="1">
      <alignment/>
    </xf>
    <xf numFmtId="0" fontId="21" fillId="0" borderId="10" xfId="0" applyFont="1" applyBorder="1" applyAlignment="1">
      <alignment/>
    </xf>
    <xf numFmtId="14" fontId="28" fillId="0" borderId="0" xfId="59" applyNumberFormat="1" applyFont="1" applyFill="1" applyBorder="1" applyAlignment="1">
      <alignment horizontal="right" wrapText="1"/>
      <protection/>
    </xf>
    <xf numFmtId="14" fontId="22" fillId="0" borderId="0" xfId="0" applyNumberFormat="1" applyFont="1" applyBorder="1" applyAlignment="1">
      <alignment horizontal="right"/>
    </xf>
    <xf numFmtId="0" fontId="22" fillId="0" borderId="0" xfId="0" applyFont="1" applyFill="1" applyAlignment="1">
      <alignment horizontal="right"/>
    </xf>
    <xf numFmtId="39" fontId="22" fillId="0" borderId="0" xfId="0" applyNumberFormat="1" applyFont="1" applyFill="1" applyAlignment="1">
      <alignment/>
    </xf>
    <xf numFmtId="37" fontId="22" fillId="0" borderId="0" xfId="0" applyNumberFormat="1" applyFont="1" applyFill="1" applyAlignment="1">
      <alignment horizontal="right"/>
    </xf>
    <xf numFmtId="0" fontId="22" fillId="0" borderId="0" xfId="0" applyFont="1" applyFill="1" applyAlignment="1">
      <alignment/>
    </xf>
    <xf numFmtId="4" fontId="22" fillId="0" borderId="0" xfId="0" applyNumberFormat="1" applyFont="1" applyFill="1" applyAlignment="1">
      <alignment/>
    </xf>
    <xf numFmtId="10" fontId="22" fillId="0" borderId="0" xfId="0" applyNumberFormat="1" applyFont="1" applyFill="1" applyAlignment="1">
      <alignment/>
    </xf>
    <xf numFmtId="0" fontId="22" fillId="0" borderId="0" xfId="0" applyFont="1" applyFill="1" applyBorder="1" applyAlignment="1">
      <alignment/>
    </xf>
    <xf numFmtId="14" fontId="22" fillId="0" borderId="0" xfId="0" applyNumberFormat="1" applyFont="1" applyFill="1" applyBorder="1" applyAlignment="1">
      <alignment/>
    </xf>
    <xf numFmtId="39" fontId="22" fillId="25" borderId="0" xfId="0" applyNumberFormat="1" applyFont="1" applyFill="1" applyAlignment="1">
      <alignment/>
    </xf>
    <xf numFmtId="4" fontId="22" fillId="25" borderId="0" xfId="0" applyNumberFormat="1" applyFont="1" applyFill="1" applyAlignment="1">
      <alignment/>
    </xf>
    <xf numFmtId="10" fontId="22" fillId="25" borderId="0" xfId="65" applyNumberFormat="1" applyFont="1" applyFill="1" applyBorder="1" applyAlignment="1">
      <alignment/>
    </xf>
    <xf numFmtId="10" fontId="22" fillId="25" borderId="0" xfId="65" applyNumberFormat="1" applyFont="1" applyFill="1" applyAlignment="1">
      <alignment/>
    </xf>
    <xf numFmtId="10" fontId="21" fillId="0" borderId="10" xfId="0" applyNumberFormat="1" applyFont="1" applyBorder="1" applyAlignment="1">
      <alignment horizontal="center"/>
    </xf>
    <xf numFmtId="10" fontId="21" fillId="0" borderId="0" xfId="0" applyNumberFormat="1" applyFont="1" applyBorder="1" applyAlignment="1">
      <alignment horizontal="center"/>
    </xf>
    <xf numFmtId="10" fontId="24" fillId="24" borderId="0" xfId="60" applyNumberFormat="1" applyFont="1" applyFill="1" applyAlignment="1">
      <alignment horizontal="left"/>
      <protection/>
    </xf>
    <xf numFmtId="10" fontId="22" fillId="0" borderId="0" xfId="0" applyNumberFormat="1" applyFont="1" applyBorder="1" applyAlignment="1">
      <alignment/>
    </xf>
    <xf numFmtId="10" fontId="21" fillId="0" borderId="0" xfId="0" applyNumberFormat="1" applyFont="1" applyBorder="1" applyAlignment="1">
      <alignment/>
    </xf>
    <xf numFmtId="10" fontId="22" fillId="0" borderId="0" xfId="0" applyNumberFormat="1" applyFont="1" applyAlignment="1">
      <alignment/>
    </xf>
    <xf numFmtId="10" fontId="21" fillId="0" borderId="0" xfId="64" applyNumberFormat="1" applyFont="1" applyBorder="1" applyAlignment="1">
      <alignment/>
    </xf>
    <xf numFmtId="10" fontId="22" fillId="0" borderId="0" xfId="64" applyNumberFormat="1" applyFont="1" applyBorder="1" applyAlignment="1">
      <alignment/>
    </xf>
    <xf numFmtId="10" fontId="22" fillId="0" borderId="0" xfId="0" applyNumberFormat="1" applyFont="1" applyBorder="1" applyAlignment="1">
      <alignment horizontal="left"/>
    </xf>
    <xf numFmtId="10" fontId="21" fillId="0" borderId="0" xfId="0" applyNumberFormat="1" applyFont="1" applyAlignment="1">
      <alignment horizontal="right"/>
    </xf>
    <xf numFmtId="10" fontId="23" fillId="0" borderId="0" xfId="0" applyNumberFormat="1" applyFont="1" applyBorder="1" applyAlignment="1">
      <alignment horizontal="right"/>
    </xf>
    <xf numFmtId="10" fontId="22" fillId="0" borderId="0" xfId="0" applyNumberFormat="1" applyFont="1" applyAlignment="1">
      <alignment horizontal="left"/>
    </xf>
    <xf numFmtId="10" fontId="27" fillId="0" borderId="0" xfId="0" applyNumberFormat="1" applyFont="1" applyAlignment="1">
      <alignment horizontal="left"/>
    </xf>
    <xf numFmtId="44" fontId="22" fillId="0" borderId="0" xfId="45" applyFont="1" applyBorder="1" applyAlignment="1">
      <alignment/>
    </xf>
    <xf numFmtId="175" fontId="21" fillId="0" borderId="0" xfId="64" applyNumberFormat="1" applyFont="1" applyBorder="1" applyAlignment="1">
      <alignment/>
    </xf>
    <xf numFmtId="44" fontId="22" fillId="0" borderId="0" xfId="45" applyFont="1" applyBorder="1" applyAlignment="1">
      <alignment horizontal="left"/>
    </xf>
    <xf numFmtId="44" fontId="21" fillId="0" borderId="0" xfId="45" applyFont="1" applyBorder="1" applyAlignment="1">
      <alignment/>
    </xf>
    <xf numFmtId="44" fontId="22" fillId="0" borderId="0" xfId="45" applyFont="1" applyAlignment="1">
      <alignment horizontal="right"/>
    </xf>
    <xf numFmtId="44" fontId="22" fillId="0" borderId="0" xfId="45" applyFont="1" applyFill="1" applyAlignment="1">
      <alignment horizontal="right"/>
    </xf>
    <xf numFmtId="44" fontId="22" fillId="0" borderId="0" xfId="45" applyFont="1" applyAlignment="1">
      <alignment horizontal="left"/>
    </xf>
    <xf numFmtId="44" fontId="27" fillId="0" borderId="0" xfId="45" applyFont="1" applyAlignment="1">
      <alignment horizontal="left"/>
    </xf>
    <xf numFmtId="44" fontId="22" fillId="0" borderId="0" xfId="45" applyFont="1" applyAlignment="1">
      <alignment horizontal="center"/>
    </xf>
    <xf numFmtId="44" fontId="22" fillId="0" borderId="0" xfId="45" applyFont="1" applyAlignment="1">
      <alignment/>
    </xf>
    <xf numFmtId="44" fontId="22" fillId="0" borderId="12" xfId="45" applyFont="1" applyBorder="1" applyAlignment="1">
      <alignment/>
    </xf>
    <xf numFmtId="44" fontId="22" fillId="0" borderId="10" xfId="45" applyFont="1" applyBorder="1" applyAlignment="1">
      <alignment/>
    </xf>
    <xf numFmtId="44" fontId="22" fillId="0" borderId="17" xfId="45" applyFont="1" applyBorder="1" applyAlignment="1">
      <alignment/>
    </xf>
    <xf numFmtId="10" fontId="22" fillId="0" borderId="0" xfId="64" applyNumberFormat="1" applyFont="1" applyAlignment="1">
      <alignment/>
    </xf>
    <xf numFmtId="10" fontId="21" fillId="0" borderId="0" xfId="64" applyNumberFormat="1" applyFont="1" applyAlignment="1">
      <alignment/>
    </xf>
    <xf numFmtId="10" fontId="22" fillId="0" borderId="0" xfId="64" applyNumberFormat="1" applyFont="1" applyFill="1" applyAlignment="1">
      <alignment/>
    </xf>
    <xf numFmtId="0" fontId="21" fillId="0" borderId="0" xfId="0" applyFont="1" applyFill="1" applyBorder="1" applyAlignment="1">
      <alignment/>
    </xf>
    <xf numFmtId="10" fontId="21" fillId="0" borderId="0" xfId="0" applyNumberFormat="1" applyFont="1" applyFill="1" applyBorder="1" applyAlignment="1">
      <alignment/>
    </xf>
    <xf numFmtId="10" fontId="22" fillId="0" borderId="0" xfId="0" applyNumberFormat="1" applyFont="1" applyFill="1" applyBorder="1" applyAlignment="1">
      <alignment/>
    </xf>
    <xf numFmtId="10" fontId="21" fillId="0" borderId="0" xfId="64" applyNumberFormat="1" applyFont="1" applyFill="1" applyBorder="1" applyAlignment="1">
      <alignment/>
    </xf>
    <xf numFmtId="10" fontId="22" fillId="0" borderId="0" xfId="64" applyNumberFormat="1" applyFont="1" applyFill="1" applyBorder="1" applyAlignment="1">
      <alignment/>
    </xf>
    <xf numFmtId="44" fontId="21" fillId="0" borderId="0" xfId="45" applyFont="1" applyFill="1" applyBorder="1" applyAlignment="1">
      <alignment/>
    </xf>
    <xf numFmtId="44" fontId="22" fillId="0" borderId="0" xfId="45" applyFont="1" applyFill="1" applyBorder="1" applyAlignment="1">
      <alignment/>
    </xf>
    <xf numFmtId="10" fontId="21" fillId="0" borderId="0" xfId="64" applyNumberFormat="1" applyFont="1" applyFill="1" applyAlignment="1">
      <alignment/>
    </xf>
    <xf numFmtId="0" fontId="22" fillId="0" borderId="0" xfId="0" applyFont="1" applyFill="1" applyBorder="1" applyAlignment="1">
      <alignment horizontal="left"/>
    </xf>
    <xf numFmtId="44" fontId="22" fillId="0" borderId="0" xfId="45" applyFont="1" applyFill="1" applyBorder="1" applyAlignment="1">
      <alignment horizontal="left"/>
    </xf>
    <xf numFmtId="4" fontId="22" fillId="26" borderId="10" xfId="0" applyNumberFormat="1" applyFont="1" applyFill="1" applyBorder="1" applyAlignment="1">
      <alignment/>
    </xf>
    <xf numFmtId="0" fontId="22" fillId="0" borderId="0" xfId="60" applyFont="1" applyFill="1" applyAlignment="1">
      <alignment horizontal="left"/>
      <protection/>
    </xf>
    <xf numFmtId="0" fontId="31" fillId="0" borderId="0" xfId="0" applyFont="1" applyAlignment="1">
      <alignment/>
    </xf>
    <xf numFmtId="4" fontId="22" fillId="0" borderId="0" xfId="0" applyNumberFormat="1" applyFont="1" applyBorder="1" applyAlignment="1">
      <alignment/>
    </xf>
    <xf numFmtId="4" fontId="22" fillId="27" borderId="0" xfId="0" applyNumberFormat="1" applyFont="1" applyFill="1" applyAlignment="1">
      <alignment/>
    </xf>
    <xf numFmtId="4" fontId="22" fillId="27" borderId="10" xfId="0" applyNumberFormat="1" applyFont="1" applyFill="1" applyBorder="1" applyAlignment="1">
      <alignment/>
    </xf>
    <xf numFmtId="0" fontId="22" fillId="27" borderId="0" xfId="0" applyFont="1" applyFill="1" applyAlignment="1">
      <alignment/>
    </xf>
    <xf numFmtId="4" fontId="29" fillId="28" borderId="19" xfId="44" applyNumberFormat="1" applyFont="1" applyFill="1" applyBorder="1" applyAlignment="1">
      <alignment horizontal="right"/>
    </xf>
    <xf numFmtId="43" fontId="22" fillId="0" borderId="0" xfId="42" applyFont="1" applyAlignment="1">
      <alignment/>
    </xf>
    <xf numFmtId="0" fontId="21" fillId="0" borderId="0" xfId="0" applyFont="1" applyAlignment="1">
      <alignment horizontal="center"/>
    </xf>
    <xf numFmtId="37" fontId="21" fillId="0" borderId="0" xfId="0" applyNumberFormat="1" applyFont="1" applyAlignment="1">
      <alignment horizontal="center"/>
    </xf>
    <xf numFmtId="0" fontId="23" fillId="0" borderId="0" xfId="0" applyFont="1" applyAlignment="1">
      <alignment horizontal="center"/>
    </xf>
    <xf numFmtId="0" fontId="22" fillId="0" borderId="0" xfId="0" applyFont="1" applyFill="1" applyAlignment="1">
      <alignment horizontal="justify"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Sheet1"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4"/>
  <sheetViews>
    <sheetView tabSelected="1" zoomScalePageLayoutView="0" workbookViewId="0" topLeftCell="A229">
      <selection activeCell="D266" sqref="D266"/>
    </sheetView>
  </sheetViews>
  <sheetFormatPr defaultColWidth="9.140625" defaultRowHeight="12.75"/>
  <cols>
    <col min="1" max="1" width="35.7109375" style="1" customWidth="1"/>
    <col min="2" max="2" width="9.140625" style="1" customWidth="1"/>
    <col min="3" max="3" width="34.00390625" style="1" customWidth="1"/>
    <col min="4" max="4" width="17.421875" style="27" customWidth="1"/>
    <col min="5" max="5" width="13.140625" style="1" bestFit="1" customWidth="1"/>
    <col min="6" max="6" width="20.421875" style="8" customWidth="1"/>
    <col min="7" max="7" width="3.57421875" style="8" customWidth="1"/>
    <col min="8" max="8" width="16.57421875" style="8" customWidth="1"/>
    <col min="9" max="9" width="9.140625" style="27" customWidth="1"/>
    <col min="10" max="12" width="12.28125" style="31" hidden="1" customWidth="1"/>
    <col min="13" max="13" width="13.421875" style="27" hidden="1" customWidth="1"/>
    <col min="14" max="14" width="7.7109375" style="27" hidden="1" customWidth="1"/>
    <col min="15" max="15" width="18.7109375" style="41" hidden="1" customWidth="1"/>
    <col min="16" max="16" width="13.57421875" style="41" hidden="1" customWidth="1"/>
    <col min="17" max="18" width="9.140625" style="1" customWidth="1"/>
    <col min="19" max="19" width="9.140625" style="90" customWidth="1"/>
    <col min="20" max="16384" width="9.140625" style="1" customWidth="1"/>
  </cols>
  <sheetData>
    <row r="1" spans="1:8" ht="12.75">
      <c r="A1" s="112" t="s">
        <v>0</v>
      </c>
      <c r="B1" s="112"/>
      <c r="C1" s="112"/>
      <c r="D1" s="112"/>
      <c r="E1" s="112"/>
      <c r="F1" s="112"/>
      <c r="G1" s="112"/>
      <c r="H1" s="112"/>
    </row>
    <row r="2" spans="1:8" ht="12.75">
      <c r="A2" s="113" t="s">
        <v>85</v>
      </c>
      <c r="B2" s="113"/>
      <c r="C2" s="113"/>
      <c r="D2" s="113"/>
      <c r="E2" s="113"/>
      <c r="F2" s="113"/>
      <c r="G2" s="113"/>
      <c r="H2" s="113"/>
    </row>
    <row r="3" spans="1:8" ht="12.75">
      <c r="A3" s="114" t="s">
        <v>84</v>
      </c>
      <c r="B3" s="114"/>
      <c r="C3" s="114"/>
      <c r="D3" s="114"/>
      <c r="E3" s="114"/>
      <c r="F3" s="114"/>
      <c r="G3" s="114"/>
      <c r="H3" s="114"/>
    </row>
    <row r="5" spans="4:19" s="2" customFormat="1" ht="12.75">
      <c r="D5" s="28"/>
      <c r="F5" s="6" t="s">
        <v>2</v>
      </c>
      <c r="G5" s="6"/>
      <c r="H5" s="6"/>
      <c r="I5" s="28"/>
      <c r="J5" s="32"/>
      <c r="K5" s="32"/>
      <c r="L5" s="32"/>
      <c r="M5" s="28"/>
      <c r="N5" s="28"/>
      <c r="O5" s="40"/>
      <c r="P5" s="40"/>
      <c r="S5" s="91"/>
    </row>
    <row r="6" spans="1:8" ht="12.75">
      <c r="A6" s="49" t="s">
        <v>4</v>
      </c>
      <c r="B6" s="49"/>
      <c r="C6" s="49"/>
      <c r="D6" s="64"/>
      <c r="E6" s="3"/>
      <c r="F6" s="7" t="s">
        <v>3</v>
      </c>
      <c r="G6" s="7"/>
      <c r="H6" s="7" t="s">
        <v>1</v>
      </c>
    </row>
    <row r="7" spans="1:5" ht="12.75">
      <c r="A7" s="48"/>
      <c r="B7" s="48"/>
      <c r="C7" s="48"/>
      <c r="D7" s="65"/>
      <c r="E7" s="9"/>
    </row>
    <row r="8" spans="1:9" ht="12.75">
      <c r="A8" s="35" t="str">
        <f>"Common Stocks - "&amp;TEXT((H115)/$H$277,"##0.00%")</f>
        <v>Common Stocks - 7.08%</v>
      </c>
      <c r="B8" s="35"/>
      <c r="C8" s="35"/>
      <c r="D8" s="66"/>
      <c r="E8" s="35"/>
      <c r="F8" s="35"/>
      <c r="G8" s="35"/>
      <c r="H8" s="35"/>
      <c r="I8" s="27">
        <f>H115/$H$277</f>
        <v>0.07083526408840184</v>
      </c>
    </row>
    <row r="9" spans="1:5" ht="12.75">
      <c r="A9" s="33"/>
      <c r="B9" s="33"/>
      <c r="C9" s="33"/>
      <c r="D9" s="67"/>
      <c r="E9" s="33"/>
    </row>
    <row r="10" spans="1:5" ht="12.75">
      <c r="A10" s="47" t="str">
        <f>"Arrangement of Transportation of Freight &amp; Cargo - "&amp;TEXT((H11)/$H$277,"##0.00%")</f>
        <v>Arrangement of Transportation of Freight &amp; Cargo - 0.24%</v>
      </c>
      <c r="B10" s="47"/>
      <c r="C10" s="47"/>
      <c r="D10" s="68"/>
      <c r="E10" s="47"/>
    </row>
    <row r="11" spans="1:9" ht="12.75">
      <c r="A11" s="33" t="s">
        <v>31</v>
      </c>
      <c r="B11" s="33"/>
      <c r="C11" s="33"/>
      <c r="D11" s="67"/>
      <c r="E11" s="33"/>
      <c r="F11" s="8">
        <v>4129</v>
      </c>
      <c r="H11" s="8">
        <v>373757</v>
      </c>
      <c r="I11" s="27">
        <f>H11/$H$277</f>
        <v>0.0023582444658795517</v>
      </c>
    </row>
    <row r="12" spans="1:5" ht="12.75">
      <c r="A12" s="33"/>
      <c r="B12" s="33"/>
      <c r="C12" s="33"/>
      <c r="D12" s="67"/>
      <c r="E12" s="33"/>
    </row>
    <row r="13" spans="1:5" ht="12.75">
      <c r="A13" s="47" t="str">
        <f>"Beverages - "&amp;TEXT((H17)/$H$277,"##0.00%")</f>
        <v>Beverages - 0.34%</v>
      </c>
      <c r="B13" s="47"/>
      <c r="C13" s="47"/>
      <c r="D13" s="68"/>
      <c r="E13" s="47"/>
    </row>
    <row r="14" spans="1:8" ht="12.75">
      <c r="A14" s="33" t="s">
        <v>32</v>
      </c>
      <c r="B14" s="33"/>
      <c r="C14" s="33"/>
      <c r="D14" s="67"/>
      <c r="E14" s="33"/>
      <c r="F14" s="8">
        <v>5060</v>
      </c>
      <c r="H14" s="8">
        <v>249812</v>
      </c>
    </row>
    <row r="15" spans="1:8" ht="12.75">
      <c r="A15" s="33" t="s">
        <v>33</v>
      </c>
      <c r="B15" s="33"/>
      <c r="C15" s="33"/>
      <c r="D15" s="67"/>
      <c r="E15" s="33"/>
      <c r="F15" s="8">
        <v>2060</v>
      </c>
      <c r="H15" s="8">
        <v>285516</v>
      </c>
    </row>
    <row r="16" spans="1:5" ht="12.75">
      <c r="A16" s="33"/>
      <c r="B16" s="33"/>
      <c r="C16" s="33"/>
      <c r="D16" s="67"/>
      <c r="E16" s="33"/>
    </row>
    <row r="17" spans="1:9" ht="12.75">
      <c r="A17" s="33"/>
      <c r="B17" s="33"/>
      <c r="C17" s="33"/>
      <c r="D17" s="67"/>
      <c r="E17" s="33"/>
      <c r="H17" s="8">
        <f>SUM(H14:H16)</f>
        <v>535328</v>
      </c>
      <c r="I17" s="27">
        <f>H17/$H$277</f>
        <v>0.003377687356839788</v>
      </c>
    </row>
    <row r="18" spans="1:5" ht="12.75">
      <c r="A18" s="33"/>
      <c r="B18" s="33"/>
      <c r="C18" s="33"/>
      <c r="D18" s="67"/>
      <c r="E18" s="33"/>
    </row>
    <row r="19" spans="1:5" ht="12.75">
      <c r="A19" s="47" t="str">
        <f>"Construction, Mining &amp; Materials Handling Machinery &amp; Equipment - "&amp;TEXT((H20)/$H$277,"##0.00%")</f>
        <v>Construction, Mining &amp; Materials Handling Machinery &amp; Equipment - 0.17%</v>
      </c>
      <c r="B19" s="47"/>
      <c r="C19" s="47"/>
      <c r="D19" s="68"/>
      <c r="E19" s="47"/>
    </row>
    <row r="20" spans="1:9" ht="12.75">
      <c r="A20" s="33" t="s">
        <v>34</v>
      </c>
      <c r="B20" s="33"/>
      <c r="C20" s="33"/>
      <c r="D20" s="67"/>
      <c r="E20" s="33"/>
      <c r="F20" s="8">
        <v>2553</v>
      </c>
      <c r="H20" s="8">
        <v>276592</v>
      </c>
      <c r="I20" s="27">
        <f>H20/$H$277</f>
        <v>0.0017451754838211913</v>
      </c>
    </row>
    <row r="21" spans="1:5" ht="12.75">
      <c r="A21" s="33"/>
      <c r="B21" s="33"/>
      <c r="C21" s="33"/>
      <c r="D21" s="67"/>
      <c r="E21" s="33"/>
    </row>
    <row r="22" spans="1:5" ht="12.75">
      <c r="A22" s="47" t="str">
        <f>"Converted Paper &amp; Paperboard Prods (No Containers/Boxes) - "&amp;TEXT((H23)/$H$277,"##0.00%")</f>
        <v>Converted Paper &amp; Paperboard Prods (No Containers/Boxes) - 0.19%</v>
      </c>
      <c r="B22" s="47"/>
      <c r="C22" s="47"/>
      <c r="D22" s="68"/>
      <c r="E22" s="47"/>
    </row>
    <row r="23" spans="1:9" ht="12.75">
      <c r="A23" s="33" t="s">
        <v>35</v>
      </c>
      <c r="B23" s="33"/>
      <c r="C23" s="33"/>
      <c r="D23" s="67"/>
      <c r="E23" s="33"/>
      <c r="F23" s="8">
        <v>2068</v>
      </c>
      <c r="H23" s="8">
        <v>305361</v>
      </c>
      <c r="I23" s="27">
        <f>H23/$H$277</f>
        <v>0.0019266953885691662</v>
      </c>
    </row>
    <row r="24" spans="1:5" ht="12.75">
      <c r="A24" s="33"/>
      <c r="B24" s="33"/>
      <c r="C24" s="33"/>
      <c r="D24" s="67"/>
      <c r="E24" s="33"/>
    </row>
    <row r="25" spans="1:5" ht="12.75">
      <c r="A25" s="47" t="str">
        <f>"Cutlery, Handtools &amp; General Hardware - "&amp;TEXT((H26)/$H$277,"##0.00%")</f>
        <v>Cutlery, Handtools &amp; General Hardware - 0.19%</v>
      </c>
      <c r="B25" s="47"/>
      <c r="C25" s="47"/>
      <c r="D25" s="68"/>
      <c r="E25" s="47"/>
    </row>
    <row r="26" spans="1:9" ht="12.75">
      <c r="A26" s="33" t="s">
        <v>36</v>
      </c>
      <c r="B26" s="33"/>
      <c r="C26" s="33"/>
      <c r="D26" s="67"/>
      <c r="E26" s="33"/>
      <c r="F26" s="8">
        <v>1836</v>
      </c>
      <c r="H26" s="8">
        <v>297799</v>
      </c>
      <c r="I26" s="27">
        <f>H26/$H$277</f>
        <v>0.0018789824503473236</v>
      </c>
    </row>
    <row r="27" spans="1:5" ht="12.75">
      <c r="A27" s="33"/>
      <c r="B27" s="33"/>
      <c r="C27" s="33"/>
      <c r="D27" s="67"/>
      <c r="E27" s="33"/>
    </row>
    <row r="28" spans="1:5" ht="12.75">
      <c r="A28" s="47" t="str">
        <f>"Electromedical &amp; Electrotherapeutic Apparatus - "&amp;TEXT((H29)/$H$277,"##0.00%")</f>
        <v>Electromedical &amp; Electrotherapeutic Apparatus - 0.17%</v>
      </c>
      <c r="B28" s="47"/>
      <c r="C28" s="47"/>
      <c r="D28" s="68"/>
      <c r="E28" s="47"/>
    </row>
    <row r="29" spans="1:9" ht="12.75">
      <c r="A29" s="33" t="s">
        <v>66</v>
      </c>
      <c r="B29" s="33"/>
      <c r="C29" s="33"/>
      <c r="D29" s="67"/>
      <c r="E29" s="33"/>
      <c r="F29" s="8">
        <v>2517</v>
      </c>
      <c r="H29" s="8">
        <v>261567</v>
      </c>
      <c r="I29" s="27">
        <f>H29/$H$277</f>
        <v>0.0016503742544132062</v>
      </c>
    </row>
    <row r="30" spans="1:5" ht="12.75">
      <c r="A30" s="33"/>
      <c r="B30" s="33"/>
      <c r="C30" s="33"/>
      <c r="D30" s="67"/>
      <c r="E30" s="33"/>
    </row>
    <row r="31" spans="1:5" ht="12.75">
      <c r="A31" s="47" t="str">
        <f>"Electronic &amp; Other Electrical Equipment - "&amp;TEXT((H32)/$H$277,"##0.00%")</f>
        <v>Electronic &amp; Other Electrical Equipment - 0.17%</v>
      </c>
      <c r="B31" s="47"/>
      <c r="C31" s="47"/>
      <c r="D31" s="68"/>
      <c r="E31" s="47"/>
    </row>
    <row r="32" spans="1:9" ht="12.75">
      <c r="A32" s="33" t="s">
        <v>37</v>
      </c>
      <c r="B32" s="33"/>
      <c r="C32" s="33"/>
      <c r="D32" s="67"/>
      <c r="E32" s="33"/>
      <c r="F32" s="8">
        <v>4059</v>
      </c>
      <c r="H32" s="8">
        <v>266149</v>
      </c>
      <c r="I32" s="27">
        <f>H32/$H$277</f>
        <v>0.0016792846859038809</v>
      </c>
    </row>
    <row r="33" spans="1:5" ht="12.75">
      <c r="A33" s="33"/>
      <c r="B33" s="33"/>
      <c r="C33" s="33"/>
      <c r="D33" s="67"/>
      <c r="E33" s="33"/>
    </row>
    <row r="34" spans="1:5" ht="12.75">
      <c r="A34" s="47" t="str">
        <f>"General Industrial Machinery &amp; Equipment - "&amp;TEXT((H35)/$H$277,"##0.00%")</f>
        <v>General Industrial Machinery &amp; Equipment - 0.20%</v>
      </c>
      <c r="B34" s="47"/>
      <c r="C34" s="47"/>
      <c r="D34" s="68"/>
      <c r="E34" s="47"/>
    </row>
    <row r="35" spans="1:9" ht="12.75">
      <c r="A35" s="33" t="s">
        <v>38</v>
      </c>
      <c r="B35" s="33"/>
      <c r="C35" s="33"/>
      <c r="D35" s="67"/>
      <c r="E35" s="33"/>
      <c r="F35" s="8">
        <v>1631</v>
      </c>
      <c r="H35" s="8">
        <v>315126</v>
      </c>
      <c r="I35" s="27">
        <f>H35/$H$277</f>
        <v>0.0019883083007268348</v>
      </c>
    </row>
    <row r="36" spans="1:5" ht="12.75">
      <c r="A36" s="33"/>
      <c r="B36" s="33"/>
      <c r="C36" s="33"/>
      <c r="D36" s="67"/>
      <c r="E36" s="33"/>
    </row>
    <row r="37" spans="1:5" ht="12.75">
      <c r="A37" s="47" t="str">
        <f>"Household Appliances - "&amp;TEXT((H38)/$H$277,"##0.00%")</f>
        <v>Household Appliances - 0.24%</v>
      </c>
      <c r="B37" s="47"/>
      <c r="C37" s="47"/>
      <c r="D37" s="68"/>
      <c r="E37" s="47"/>
    </row>
    <row r="38" spans="1:9" ht="12.75">
      <c r="A38" s="33" t="s">
        <v>39</v>
      </c>
      <c r="B38" s="33"/>
      <c r="C38" s="33"/>
      <c r="D38" s="67"/>
      <c r="E38" s="33"/>
      <c r="F38" s="8">
        <v>7132</v>
      </c>
      <c r="H38" s="8">
        <v>376570</v>
      </c>
      <c r="I38" s="27">
        <f>H38/$H$277</f>
        <v>0.002375993275085852</v>
      </c>
    </row>
    <row r="39" spans="1:5" ht="12.75">
      <c r="A39" s="33"/>
      <c r="B39" s="33"/>
      <c r="C39" s="33"/>
      <c r="D39" s="67"/>
      <c r="E39" s="33"/>
    </row>
    <row r="40" spans="1:5" ht="12.75">
      <c r="A40" s="47" t="str">
        <f>"Industrial Inorganic Chemicals - "&amp;TEXT((H44)/$H$277,"##0.36%")</f>
        <v>Industrial Inorganic Chemicals - 0.36%</v>
      </c>
      <c r="B40" s="47"/>
      <c r="C40" s="47"/>
      <c r="D40" s="68"/>
      <c r="E40" s="47"/>
    </row>
    <row r="41" spans="1:8" ht="12.75">
      <c r="A41" s="33" t="s">
        <v>40</v>
      </c>
      <c r="B41" s="33"/>
      <c r="C41" s="33"/>
      <c r="D41" s="67"/>
      <c r="E41" s="33"/>
      <c r="F41" s="8">
        <v>1198</v>
      </c>
      <c r="H41" s="8">
        <v>356836</v>
      </c>
    </row>
    <row r="42" spans="1:8" ht="12.75">
      <c r="A42" s="33" t="s">
        <v>65</v>
      </c>
      <c r="B42" s="33"/>
      <c r="C42" s="33"/>
      <c r="D42" s="67"/>
      <c r="E42" s="33"/>
      <c r="F42" s="8">
        <v>1398</v>
      </c>
      <c r="H42" s="8">
        <v>332906</v>
      </c>
    </row>
    <row r="43" spans="1:5" ht="12.75">
      <c r="A43" s="33"/>
      <c r="B43" s="33"/>
      <c r="C43" s="33"/>
      <c r="D43" s="67"/>
      <c r="E43" s="33"/>
    </row>
    <row r="44" spans="1:9" ht="12.75">
      <c r="A44" s="33"/>
      <c r="B44" s="33"/>
      <c r="C44" s="33"/>
      <c r="D44" s="67"/>
      <c r="E44" s="33"/>
      <c r="H44" s="8">
        <f>SUM(H41:H43)</f>
        <v>689742</v>
      </c>
      <c r="I44" s="27">
        <f>H44/$H$277</f>
        <v>0.004351972683815136</v>
      </c>
    </row>
    <row r="45" spans="1:5" ht="12.75">
      <c r="A45" s="33"/>
      <c r="B45" s="33"/>
      <c r="C45" s="33"/>
      <c r="D45" s="67"/>
      <c r="E45" s="33"/>
    </row>
    <row r="46" spans="1:5" ht="12.75">
      <c r="A46" s="47" t="str">
        <f>"Industrial Instruments For Measurement, Display &amp; Control - "&amp;TEXT((H47)/$H$277,"##0.00%")</f>
        <v>Industrial Instruments For Measurement, Display &amp; Control - 0.19%</v>
      </c>
      <c r="B46" s="47"/>
      <c r="C46" s="47"/>
      <c r="D46" s="68"/>
      <c r="E46" s="47"/>
    </row>
    <row r="47" spans="1:9" ht="12.75">
      <c r="A47" s="33" t="s">
        <v>41</v>
      </c>
      <c r="B47" s="33"/>
      <c r="C47" s="33"/>
      <c r="D47" s="67"/>
      <c r="E47" s="33"/>
      <c r="F47" s="8">
        <v>777</v>
      </c>
      <c r="H47" s="8">
        <v>307000</v>
      </c>
      <c r="I47" s="27">
        <f>H47/$H$277</f>
        <v>0.0019370367672713084</v>
      </c>
    </row>
    <row r="48" spans="1:5" ht="12.75">
      <c r="A48" s="33"/>
      <c r="B48" s="33"/>
      <c r="C48" s="33"/>
      <c r="D48" s="67"/>
      <c r="E48" s="33"/>
    </row>
    <row r="49" spans="1:5" ht="12.75">
      <c r="A49" s="47" t="str">
        <f>"Men's &amp; Boys' Furnishings, Work Clothing, and Allied Garments - "&amp;TEXT((H53)/$H$277,"##0.00%")</f>
        <v>Men's &amp; Boys' Furnishings, Work Clothing, and Allied Garments - 0.38%</v>
      </c>
      <c r="B49" s="47"/>
      <c r="C49" s="47"/>
      <c r="D49" s="68"/>
      <c r="E49" s="47"/>
    </row>
    <row r="50" spans="1:8" ht="12.75">
      <c r="A50" s="33" t="s">
        <v>42</v>
      </c>
      <c r="B50" s="33"/>
      <c r="C50" s="33"/>
      <c r="D50" s="67"/>
      <c r="E50" s="33"/>
      <c r="F50" s="8">
        <v>1027</v>
      </c>
      <c r="H50" s="8">
        <v>341816</v>
      </c>
    </row>
    <row r="51" spans="1:8" ht="12.75">
      <c r="A51" s="33" t="s">
        <v>43</v>
      </c>
      <c r="B51" s="33"/>
      <c r="C51" s="33"/>
      <c r="D51" s="67"/>
      <c r="E51" s="33"/>
      <c r="F51" s="8">
        <v>3610</v>
      </c>
      <c r="H51" s="8">
        <v>253602</v>
      </c>
    </row>
    <row r="52" spans="1:5" ht="12.75">
      <c r="A52" s="33"/>
      <c r="B52" s="33"/>
      <c r="C52" s="33"/>
      <c r="D52" s="67"/>
      <c r="E52" s="33"/>
    </row>
    <row r="53" spans="1:9" ht="12.75">
      <c r="A53" s="33"/>
      <c r="B53" s="33"/>
      <c r="C53" s="33"/>
      <c r="D53" s="67"/>
      <c r="E53" s="33"/>
      <c r="H53" s="8">
        <f>SUM(H50:H52)</f>
        <v>595418</v>
      </c>
      <c r="I53" s="27">
        <f>H53/$H$277</f>
        <v>0.0037568291788115564</v>
      </c>
    </row>
    <row r="54" spans="1:5" ht="12.75">
      <c r="A54" s="33"/>
      <c r="B54" s="33"/>
      <c r="C54" s="33"/>
      <c r="D54" s="67"/>
      <c r="E54" s="33"/>
    </row>
    <row r="55" spans="1:5" ht="12.75">
      <c r="A55" s="47" t="str">
        <f>"Miscellaneous Food Preparations &amp; Kindred Products - "&amp;TEXT((H56)/$H$277,"##0.00%")</f>
        <v>Miscellaneous Food Preparations &amp; Kindred Products - 0.22%</v>
      </c>
      <c r="B55" s="47"/>
      <c r="C55" s="47"/>
      <c r="D55" s="68"/>
      <c r="E55" s="47"/>
    </row>
    <row r="56" spans="1:9" ht="12.75">
      <c r="A56" s="33" t="s">
        <v>30</v>
      </c>
      <c r="B56" s="33"/>
      <c r="C56" s="33"/>
      <c r="D56" s="67"/>
      <c r="E56" s="33"/>
      <c r="F56" s="8">
        <v>1836</v>
      </c>
      <c r="H56" s="8">
        <v>356368</v>
      </c>
      <c r="I56" s="27">
        <f>H56/$H$277</f>
        <v>0.002248527422406976</v>
      </c>
    </row>
    <row r="57" spans="1:5" ht="12.75">
      <c r="A57" s="33"/>
      <c r="B57" s="33"/>
      <c r="C57" s="33"/>
      <c r="D57" s="67"/>
      <c r="E57" s="33"/>
    </row>
    <row r="58" spans="1:5" ht="12.75">
      <c r="A58" s="47" t="str">
        <f>"Natural Gas Distribution - "&amp;TEXT((H59)/$H$277,"##0.00%")</f>
        <v>Natural Gas Distribution - 0.15%</v>
      </c>
      <c r="B58" s="47"/>
      <c r="C58" s="47"/>
      <c r="D58" s="68"/>
      <c r="E58" s="47"/>
    </row>
    <row r="59" spans="1:9" ht="12.75">
      <c r="A59" s="33" t="s">
        <v>44</v>
      </c>
      <c r="B59" s="33"/>
      <c r="C59" s="33"/>
      <c r="D59" s="67"/>
      <c r="E59" s="33"/>
      <c r="F59" s="8">
        <v>2534</v>
      </c>
      <c r="H59" s="8">
        <v>242225</v>
      </c>
      <c r="I59" s="27">
        <f>H59/$H$277</f>
        <v>0.0015283346285090967</v>
      </c>
    </row>
    <row r="60" spans="1:5" ht="12.75">
      <c r="A60" s="33"/>
      <c r="B60" s="33"/>
      <c r="C60" s="33"/>
      <c r="D60" s="67"/>
      <c r="E60" s="33"/>
    </row>
    <row r="61" spans="1:5" ht="12.75">
      <c r="A61" s="47" t="str">
        <f>"Perfumes, Cosmetics &amp; Other Toilet Preparations - "&amp;TEXT((H62)/$H$277,"##0.00%")</f>
        <v>Perfumes, Cosmetics &amp; Other Toilet Preparations - 0.19%</v>
      </c>
      <c r="B61" s="47"/>
      <c r="C61" s="47"/>
      <c r="D61" s="68"/>
      <c r="E61" s="47"/>
    </row>
    <row r="62" spans="1:9" ht="12.75">
      <c r="A62" s="33" t="s">
        <v>45</v>
      </c>
      <c r="B62" s="33"/>
      <c r="C62" s="33"/>
      <c r="D62" s="67"/>
      <c r="E62" s="33"/>
      <c r="F62" s="8">
        <v>3939</v>
      </c>
      <c r="H62" s="8">
        <v>303894</v>
      </c>
      <c r="I62" s="27">
        <f>H62/$H$277</f>
        <v>0.0019174392552219772</v>
      </c>
    </row>
    <row r="63" spans="1:5" ht="12.75">
      <c r="A63" s="33"/>
      <c r="B63" s="33"/>
      <c r="C63" s="33"/>
      <c r="D63" s="67"/>
      <c r="E63" s="33"/>
    </row>
    <row r="64" spans="1:5" ht="12.75">
      <c r="A64" s="47" t="str">
        <f>"Pharmaceutical Preparations - "&amp;TEXT((H68)/$H$277,"##0.00%")</f>
        <v>Pharmaceutical Preparations - 0.42%</v>
      </c>
      <c r="B64" s="47"/>
      <c r="C64" s="47"/>
      <c r="D64" s="68"/>
      <c r="E64" s="47"/>
    </row>
    <row r="65" spans="1:8" ht="12.75">
      <c r="A65" s="33" t="s">
        <v>46</v>
      </c>
      <c r="B65" s="33"/>
      <c r="C65" s="33"/>
      <c r="D65" s="67"/>
      <c r="E65" s="33"/>
      <c r="F65" s="8">
        <v>3408</v>
      </c>
      <c r="H65" s="8">
        <v>370893</v>
      </c>
    </row>
    <row r="66" spans="1:8" ht="12.75">
      <c r="A66" s="33" t="s">
        <v>47</v>
      </c>
      <c r="B66" s="33"/>
      <c r="C66" s="33"/>
      <c r="D66" s="67"/>
      <c r="E66" s="33"/>
      <c r="F66" s="8">
        <v>1971</v>
      </c>
      <c r="H66" s="8">
        <v>293442</v>
      </c>
    </row>
    <row r="67" spans="1:5" ht="12.75">
      <c r="A67" s="33"/>
      <c r="B67" s="33"/>
      <c r="C67" s="33"/>
      <c r="D67" s="67"/>
      <c r="E67" s="33"/>
    </row>
    <row r="68" spans="1:9" ht="12.75">
      <c r="A68" s="33"/>
      <c r="B68" s="33"/>
      <c r="C68" s="33"/>
      <c r="D68" s="67"/>
      <c r="E68" s="33"/>
      <c r="H68" s="8">
        <f>SUM(H65:H67)</f>
        <v>664335</v>
      </c>
      <c r="I68" s="27">
        <f>H68/$H$277</f>
        <v>0.004191665540016888</v>
      </c>
    </row>
    <row r="69" spans="1:5" ht="12.75">
      <c r="A69" s="33"/>
      <c r="B69" s="33"/>
      <c r="C69" s="33"/>
      <c r="D69" s="67"/>
      <c r="E69" s="33"/>
    </row>
    <row r="70" spans="1:5" ht="12.75">
      <c r="A70" s="47" t="str">
        <f>"Plastics, Materials, Synth Resins &amp; Nonvulcan Elastomers - "&amp;TEXT((H71)/$H$277,"##0.00%")</f>
        <v>Plastics, Materials, Synth Resins &amp; Nonvulcan Elastomers - 0.39%</v>
      </c>
      <c r="B70" s="47"/>
      <c r="C70" s="47"/>
      <c r="D70" s="68"/>
      <c r="E70" s="47"/>
    </row>
    <row r="71" spans="1:9" ht="12.75">
      <c r="A71" s="33" t="s">
        <v>48</v>
      </c>
      <c r="B71" s="33"/>
      <c r="C71" s="33"/>
      <c r="D71" s="67"/>
      <c r="E71" s="33"/>
      <c r="F71" s="8">
        <v>6939</v>
      </c>
      <c r="H71" s="8">
        <v>619514</v>
      </c>
      <c r="I71" s="27">
        <f>H71/$H$277</f>
        <v>0.003908864481561294</v>
      </c>
    </row>
    <row r="72" spans="1:5" ht="12.75">
      <c r="A72" s="33"/>
      <c r="B72" s="33"/>
      <c r="C72" s="33"/>
      <c r="D72" s="67"/>
      <c r="E72" s="33"/>
    </row>
    <row r="73" spans="1:5" ht="12.75">
      <c r="A73" s="47" t="str">
        <f>"Retail-Building Materials, Hardware, Garden Supply - "&amp;TEXT((H74)/$H$277,"##0.00%")</f>
        <v>Retail-Building Materials, Hardware, Garden Supply - 0.23%</v>
      </c>
      <c r="B73" s="47"/>
      <c r="C73" s="47"/>
      <c r="D73" s="68"/>
      <c r="E73" s="47"/>
    </row>
    <row r="74" spans="1:9" ht="12.75">
      <c r="A74" s="33" t="s">
        <v>49</v>
      </c>
      <c r="B74" s="33"/>
      <c r="C74" s="33"/>
      <c r="D74" s="67"/>
      <c r="E74" s="33"/>
      <c r="F74" s="8">
        <v>523</v>
      </c>
      <c r="H74" s="8">
        <v>364395</v>
      </c>
      <c r="I74" s="27">
        <f>H74/$H$277</f>
        <v>0.002299174308826803</v>
      </c>
    </row>
    <row r="75" spans="1:5" ht="12.75">
      <c r="A75" s="33"/>
      <c r="B75" s="33"/>
      <c r="C75" s="33"/>
      <c r="D75" s="67"/>
      <c r="E75" s="33"/>
    </row>
    <row r="76" spans="1:5" ht="12.75">
      <c r="A76" s="47" t="str">
        <f>"Retail-Family Clothing Stores - "&amp;TEXT((H77)/$H$277,"##0.00%")</f>
        <v>Retail-Family Clothing Stores - 0.15%</v>
      </c>
      <c r="B76" s="47"/>
      <c r="C76" s="47"/>
      <c r="D76" s="68"/>
      <c r="E76" s="47"/>
    </row>
    <row r="77" spans="1:9" ht="12.75">
      <c r="A77" s="33" t="s">
        <v>50</v>
      </c>
      <c r="B77" s="33"/>
      <c r="C77" s="33"/>
      <c r="D77" s="67"/>
      <c r="E77" s="33"/>
      <c r="F77" s="8">
        <v>2540</v>
      </c>
      <c r="H77" s="8">
        <v>237033</v>
      </c>
      <c r="I77" s="27">
        <f>H77/$H$277</f>
        <v>0.001495575361747948</v>
      </c>
    </row>
    <row r="78" spans="1:5" ht="12.75">
      <c r="A78" s="33"/>
      <c r="B78" s="33"/>
      <c r="C78" s="33"/>
      <c r="D78" s="67"/>
      <c r="E78" s="33"/>
    </row>
    <row r="79" spans="1:5" ht="12.75">
      <c r="A79" s="47" t="str">
        <f>"Retail-Lumber &amp; Other Building Materials Dealers - "&amp;TEXT((H80)/$H$277,"##0.16%")</f>
        <v>Retail-Lumber &amp; Other Building Materials Dealers - 0.16%</v>
      </c>
      <c r="B79" s="47"/>
      <c r="C79" s="47"/>
      <c r="D79" s="68"/>
      <c r="E79" s="47"/>
    </row>
    <row r="80" spans="1:9" ht="12.75">
      <c r="A80" s="33" t="s">
        <v>51</v>
      </c>
      <c r="B80" s="33"/>
      <c r="C80" s="33"/>
      <c r="D80" s="67"/>
      <c r="E80" s="33"/>
      <c r="F80" s="8">
        <v>2465</v>
      </c>
      <c r="H80" s="8">
        <v>408845</v>
      </c>
      <c r="I80" s="27">
        <f>H80/$H$277</f>
        <v>0.0025796345182900263</v>
      </c>
    </row>
    <row r="81" spans="1:5" ht="12.75">
      <c r="A81" s="33"/>
      <c r="B81" s="33"/>
      <c r="C81" s="33"/>
      <c r="D81" s="67"/>
      <c r="E81" s="33"/>
    </row>
    <row r="82" spans="1:5" ht="12.75">
      <c r="A82" s="47" t="str">
        <f>"Retail-Variety Stores - "&amp;TEXT((H83)/$H$277,"##0.00%")</f>
        <v>Retail-Variety Stores - 0.25%</v>
      </c>
      <c r="B82" s="47"/>
      <c r="C82" s="47"/>
      <c r="D82" s="68"/>
      <c r="E82" s="47"/>
    </row>
    <row r="83" spans="1:9" ht="12.75">
      <c r="A83" s="33" t="s">
        <v>52</v>
      </c>
      <c r="B83" s="33"/>
      <c r="C83" s="33"/>
      <c r="D83" s="67"/>
      <c r="E83" s="33"/>
      <c r="F83" s="8">
        <v>2561</v>
      </c>
      <c r="H83" s="8">
        <v>403153</v>
      </c>
      <c r="I83" s="27">
        <f>H83/$H$277</f>
        <v>0.0025437204685202926</v>
      </c>
    </row>
    <row r="84" spans="1:5" ht="12.75">
      <c r="A84" s="33"/>
      <c r="B84" s="33"/>
      <c r="C84" s="33"/>
      <c r="D84" s="67"/>
      <c r="E84" s="33"/>
    </row>
    <row r="85" spans="1:5" ht="12.75">
      <c r="A85" s="47" t="str">
        <f>"Services-Computer Processing &amp; Data Preparations - "&amp;TEXT((H86)/$H$277,"##0.00%")</f>
        <v>Services-Computer Processing &amp; Data Preparations - 0.15%</v>
      </c>
      <c r="B85" s="47"/>
      <c r="C85" s="47"/>
      <c r="D85" s="68"/>
      <c r="E85" s="47"/>
    </row>
    <row r="86" spans="1:9" ht="12.75">
      <c r="A86" s="33" t="s">
        <v>53</v>
      </c>
      <c r="B86" s="33"/>
      <c r="C86" s="33"/>
      <c r="D86" s="67"/>
      <c r="E86" s="33"/>
      <c r="F86" s="8">
        <v>1672</v>
      </c>
      <c r="H86" s="8">
        <v>233227</v>
      </c>
      <c r="I86" s="27">
        <f>H86/$H$277</f>
        <v>0.0014715611534865975</v>
      </c>
    </row>
    <row r="87" spans="1:5" ht="12.75">
      <c r="A87" s="33"/>
      <c r="B87" s="33"/>
      <c r="C87" s="33"/>
      <c r="D87" s="67"/>
      <c r="E87" s="33"/>
    </row>
    <row r="88" spans="1:5" ht="12.75">
      <c r="A88" s="47" t="str">
        <f>"Soap, Detergent, Cleaning Preparations, Perfumes, Cosmetics - "&amp;TEXT((H92)/$H$277,"##0.00%")</f>
        <v>Soap, Detergent, Cleaning Preparations, Perfumes, Cosmetics - 0.39%</v>
      </c>
      <c r="B88" s="47"/>
      <c r="C88" s="47"/>
      <c r="D88" s="68"/>
      <c r="E88" s="47"/>
    </row>
    <row r="89" spans="1:8" ht="12.75">
      <c r="A89" s="33" t="s">
        <v>54</v>
      </c>
      <c r="B89" s="33"/>
      <c r="C89" s="33"/>
      <c r="D89" s="67"/>
      <c r="E89" s="33"/>
      <c r="F89" s="8">
        <v>1456</v>
      </c>
      <c r="H89" s="8">
        <v>290967</v>
      </c>
    </row>
    <row r="90" spans="1:8" ht="12.75">
      <c r="A90" s="33" t="s">
        <v>55</v>
      </c>
      <c r="B90" s="33"/>
      <c r="C90" s="33"/>
      <c r="D90" s="67"/>
      <c r="E90" s="33"/>
      <c r="F90" s="8">
        <v>2375</v>
      </c>
      <c r="H90" s="8">
        <v>330101</v>
      </c>
    </row>
    <row r="91" spans="1:5" ht="12.75">
      <c r="A91" s="33"/>
      <c r="B91" s="33"/>
      <c r="C91" s="33"/>
      <c r="D91" s="67"/>
      <c r="E91" s="33"/>
    </row>
    <row r="92" spans="1:9" ht="12.75">
      <c r="A92" s="33"/>
      <c r="B92" s="33"/>
      <c r="C92" s="33"/>
      <c r="D92" s="67"/>
      <c r="E92" s="33"/>
      <c r="H92" s="8">
        <f>SUM(H89:H91)</f>
        <v>621068</v>
      </c>
      <c r="I92" s="27">
        <f>H92/$H$277</f>
        <v>0.003918669547151977</v>
      </c>
    </row>
    <row r="93" spans="1:5" ht="12.75">
      <c r="A93" s="33"/>
      <c r="B93" s="33"/>
      <c r="C93" s="33"/>
      <c r="D93" s="67"/>
      <c r="E93" s="33"/>
    </row>
    <row r="94" spans="1:19" s="55" customFormat="1" ht="12.75">
      <c r="A94" s="93" t="str">
        <f>"Special Industry Machinery - "&amp;TEXT((H95)/$H$277,"##0.00%")</f>
        <v>Special Industry Machinery - 0.20%</v>
      </c>
      <c r="B94" s="93"/>
      <c r="C94" s="93"/>
      <c r="D94" s="94"/>
      <c r="E94" s="93"/>
      <c r="F94" s="54"/>
      <c r="G94" s="54"/>
      <c r="H94" s="54"/>
      <c r="I94" s="57"/>
      <c r="J94" s="53"/>
      <c r="K94" s="53"/>
      <c r="L94" s="53"/>
      <c r="M94" s="57"/>
      <c r="N94" s="57"/>
      <c r="O94" s="56"/>
      <c r="P94" s="56"/>
      <c r="S94" s="92"/>
    </row>
    <row r="95" spans="1:19" s="55" customFormat="1" ht="12.75">
      <c r="A95" s="58" t="s">
        <v>67</v>
      </c>
      <c r="B95" s="58"/>
      <c r="C95" s="58"/>
      <c r="D95" s="95"/>
      <c r="E95" s="58"/>
      <c r="F95" s="54">
        <v>6863</v>
      </c>
      <c r="G95" s="54"/>
      <c r="H95" s="54">
        <v>314119</v>
      </c>
      <c r="I95" s="57">
        <f>H95/$H$277</f>
        <v>0.0019819545677475445</v>
      </c>
      <c r="J95" s="53"/>
      <c r="K95" s="53"/>
      <c r="L95" s="53"/>
      <c r="M95" s="57"/>
      <c r="N95" s="57"/>
      <c r="O95" s="56"/>
      <c r="P95" s="56"/>
      <c r="S95" s="92"/>
    </row>
    <row r="96" spans="1:19" s="55" customFormat="1" ht="12.75">
      <c r="A96" s="58"/>
      <c r="B96" s="58"/>
      <c r="C96" s="58"/>
      <c r="D96" s="95"/>
      <c r="E96" s="58"/>
      <c r="F96" s="54"/>
      <c r="G96" s="54"/>
      <c r="H96" s="54"/>
      <c r="I96" s="57"/>
      <c r="J96" s="53"/>
      <c r="K96" s="53"/>
      <c r="L96" s="53"/>
      <c r="M96" s="57"/>
      <c r="N96" s="57"/>
      <c r="O96" s="56"/>
      <c r="P96" s="56"/>
      <c r="S96" s="92"/>
    </row>
    <row r="97" spans="1:19" s="55" customFormat="1" ht="12.75">
      <c r="A97" s="93" t="str">
        <f>"Specialty Cleaning, Polishing &amp; Sanitation Preparations - "&amp;TEXT((H98)/$H$277,"##0.00%")</f>
        <v>Specialty Cleaning, Polishing &amp; Sanitation Preparations - 0.24%</v>
      </c>
      <c r="B97" s="93"/>
      <c r="C97" s="93"/>
      <c r="D97" s="94"/>
      <c r="E97" s="93"/>
      <c r="F97" s="54"/>
      <c r="G97" s="54"/>
      <c r="H97" s="54"/>
      <c r="I97" s="57"/>
      <c r="J97" s="53"/>
      <c r="K97" s="53"/>
      <c r="L97" s="53"/>
      <c r="M97" s="57"/>
      <c r="N97" s="57"/>
      <c r="O97" s="56"/>
      <c r="P97" s="56"/>
      <c r="S97" s="92"/>
    </row>
    <row r="98" spans="1:19" s="55" customFormat="1" ht="12.75">
      <c r="A98" s="58" t="s">
        <v>28</v>
      </c>
      <c r="B98" s="58"/>
      <c r="C98" s="58"/>
      <c r="D98" s="95"/>
      <c r="E98" s="58"/>
      <c r="F98" s="54">
        <v>1801</v>
      </c>
      <c r="G98" s="54"/>
      <c r="H98" s="54">
        <v>378516</v>
      </c>
      <c r="I98" s="57">
        <f>H98/$H$277</f>
        <v>0.0023882716905552657</v>
      </c>
      <c r="J98" s="53"/>
      <c r="K98" s="53"/>
      <c r="L98" s="53"/>
      <c r="M98" s="57"/>
      <c r="N98" s="57"/>
      <c r="O98" s="56"/>
      <c r="P98" s="56"/>
      <c r="S98" s="92"/>
    </row>
    <row r="99" spans="1:19" s="55" customFormat="1" ht="12.75">
      <c r="A99" s="58"/>
      <c r="B99" s="58"/>
      <c r="C99" s="58"/>
      <c r="D99" s="95"/>
      <c r="E99" s="58"/>
      <c r="F99" s="54"/>
      <c r="G99" s="54"/>
      <c r="H99" s="54"/>
      <c r="I99" s="57"/>
      <c r="J99" s="53"/>
      <c r="K99" s="53"/>
      <c r="L99" s="53"/>
      <c r="M99" s="57"/>
      <c r="N99" s="57"/>
      <c r="O99" s="56"/>
      <c r="P99" s="56"/>
      <c r="S99" s="92"/>
    </row>
    <row r="100" spans="1:5" ht="12.75">
      <c r="A100" s="47" t="str">
        <f>"Surgical &amp; Medical Instruments &amp; Apparatus - "&amp;TEXT((H104)/$H$277,"##0.00%")</f>
        <v>Surgical &amp; Medical Instruments &amp; Apparatus - 0.37%</v>
      </c>
      <c r="B100" s="47"/>
      <c r="C100" s="47"/>
      <c r="D100" s="68"/>
      <c r="E100" s="47"/>
    </row>
    <row r="101" spans="1:8" ht="12.75">
      <c r="A101" s="33" t="s">
        <v>56</v>
      </c>
      <c r="B101" s="33"/>
      <c r="C101" s="33"/>
      <c r="D101" s="67"/>
      <c r="E101" s="33"/>
      <c r="F101" s="8">
        <v>1870</v>
      </c>
      <c r="H101" s="8">
        <v>299537</v>
      </c>
    </row>
    <row r="102" spans="1:8" ht="12.75">
      <c r="A102" s="33" t="s">
        <v>57</v>
      </c>
      <c r="B102" s="33"/>
      <c r="C102" s="33"/>
      <c r="D102" s="67"/>
      <c r="E102" s="33"/>
      <c r="F102" s="8">
        <v>1212</v>
      </c>
      <c r="H102" s="8">
        <v>282008</v>
      </c>
    </row>
    <row r="103" spans="1:5" ht="12.75">
      <c r="A103" s="33"/>
      <c r="B103" s="33"/>
      <c r="C103" s="33"/>
      <c r="D103" s="67"/>
      <c r="E103" s="33"/>
    </row>
    <row r="104" spans="1:9" ht="12.75">
      <c r="A104" s="33"/>
      <c r="B104" s="33"/>
      <c r="C104" s="33"/>
      <c r="D104" s="67"/>
      <c r="E104" s="33"/>
      <c r="H104" s="8">
        <f>SUM(H101:H103)</f>
        <v>581545</v>
      </c>
      <c r="I104" s="27">
        <f>H104/$H$277</f>
        <v>0.003669296569455352</v>
      </c>
    </row>
    <row r="105" spans="1:5" ht="12.75">
      <c r="A105" s="33"/>
      <c r="B105" s="33"/>
      <c r="C105" s="33"/>
      <c r="D105" s="67"/>
      <c r="E105" s="33"/>
    </row>
    <row r="106" spans="1:5" ht="12.75">
      <c r="A106" s="93" t="str">
        <f>"Wholesale-Durable Goods - "&amp;TEXT((H107)/$H$277,"##0.00%")</f>
        <v>Wholesale-Durable Goods - 0.22%</v>
      </c>
      <c r="B106" s="93"/>
      <c r="C106" s="93"/>
      <c r="D106" s="94"/>
      <c r="E106" s="47"/>
    </row>
    <row r="107" spans="1:9" ht="12.75">
      <c r="A107" s="58" t="s">
        <v>29</v>
      </c>
      <c r="B107" s="58"/>
      <c r="C107" s="58"/>
      <c r="D107" s="95"/>
      <c r="E107" s="33"/>
      <c r="F107" s="8">
        <v>999</v>
      </c>
      <c r="H107" s="8">
        <v>356413</v>
      </c>
      <c r="I107" s="27">
        <f>H107/$H$277</f>
        <v>0.0022488113528777486</v>
      </c>
    </row>
    <row r="108" spans="1:5" ht="12.75">
      <c r="A108" s="58"/>
      <c r="B108" s="58"/>
      <c r="C108" s="58"/>
      <c r="D108" s="95"/>
      <c r="E108" s="33"/>
    </row>
    <row r="109" spans="1:5" ht="12.75">
      <c r="A109" s="93" t="str">
        <f>"Wholesale-Groceries &amp; Related Products - "&amp;TEXT((H110)/$H$277,"##0.00%")</f>
        <v>Wholesale-Groceries &amp; Related Products - 0.15%</v>
      </c>
      <c r="B109" s="93"/>
      <c r="C109" s="93"/>
      <c r="D109" s="94"/>
      <c r="E109" s="47"/>
    </row>
    <row r="110" spans="1:9" ht="12.75">
      <c r="A110" s="58" t="s">
        <v>58</v>
      </c>
      <c r="B110" s="58"/>
      <c r="C110" s="58"/>
      <c r="D110" s="95"/>
      <c r="E110" s="33"/>
      <c r="F110" s="8">
        <v>3900</v>
      </c>
      <c r="H110" s="8">
        <v>242658</v>
      </c>
      <c r="I110" s="27">
        <f>H110/$H$277</f>
        <v>0.0015310666705945315</v>
      </c>
    </row>
    <row r="111" spans="1:5" ht="12.75">
      <c r="A111" s="58"/>
      <c r="B111" s="58"/>
      <c r="C111" s="58"/>
      <c r="D111" s="95"/>
      <c r="E111" s="33"/>
    </row>
    <row r="112" spans="1:5" ht="12.75">
      <c r="A112" s="93" t="str">
        <f>"Wholesale-Motor Vehicle Supplies &amp; New Parts - "&amp;TEXT((H113)/$H$277,"##0.16%")</f>
        <v>Wholesale-Motor Vehicle Supplies &amp; New Parts - 0.16%</v>
      </c>
      <c r="B112" s="93"/>
      <c r="C112" s="93"/>
      <c r="D112" s="94"/>
      <c r="E112" s="47"/>
    </row>
    <row r="113" spans="1:9" ht="12.75">
      <c r="A113" s="33" t="s">
        <v>59</v>
      </c>
      <c r="B113" s="33"/>
      <c r="C113" s="33"/>
      <c r="D113" s="67"/>
      <c r="E113" s="33"/>
      <c r="F113" s="8">
        <v>3141</v>
      </c>
      <c r="H113" s="8">
        <v>298929</v>
      </c>
      <c r="I113" s="27">
        <f>H113/$H$277</f>
        <v>0.0018861122599467262</v>
      </c>
    </row>
    <row r="114" spans="1:5" ht="12" customHeight="1">
      <c r="A114" s="33"/>
      <c r="B114" s="33"/>
      <c r="C114" s="33"/>
      <c r="D114" s="67"/>
      <c r="E114" s="33"/>
    </row>
    <row r="115" spans="1:13" ht="12.75">
      <c r="A115" s="33" t="s">
        <v>5</v>
      </c>
      <c r="B115" s="33"/>
      <c r="C115" s="33"/>
      <c r="D115" s="67"/>
      <c r="E115" s="33"/>
      <c r="F115" s="8" t="s">
        <v>132</v>
      </c>
      <c r="H115" s="8">
        <f>H113+H110+H107+H104+H98+H95+H92+H86+H83+H80+H77+H74+H71+H68+H62+H59+H56+H53+H47+H38+H35+H32+H29+H26+H23+H20+H17+H11+H44</f>
        <v>11226646</v>
      </c>
      <c r="I115" s="27">
        <f>H115/$H$277</f>
        <v>0.07083526408840184</v>
      </c>
      <c r="J115" s="60">
        <v>7738549</v>
      </c>
      <c r="K115" s="60">
        <v>11226646</v>
      </c>
      <c r="L115" s="31">
        <f>K115-H115</f>
        <v>0</v>
      </c>
      <c r="M115" s="27">
        <v>0.0699</v>
      </c>
    </row>
    <row r="116" spans="1:5" ht="12.75">
      <c r="A116" s="46"/>
      <c r="B116" s="46"/>
      <c r="C116" s="46"/>
      <c r="D116" s="69"/>
      <c r="E116" s="46"/>
    </row>
    <row r="117" spans="1:8" ht="12.75">
      <c r="A117" s="35" t="str">
        <f>"Sukuks - "&amp;TEXT((H209)/$H$277,"##0.00%")</f>
        <v>Sukuks - 69.69%</v>
      </c>
      <c r="B117" s="35"/>
      <c r="C117" s="35"/>
      <c r="D117" s="66"/>
      <c r="E117" s="35"/>
      <c r="F117" s="35"/>
      <c r="G117" s="35"/>
      <c r="H117" s="35"/>
    </row>
    <row r="118" spans="1:8" ht="12.75">
      <c r="A118" s="33"/>
      <c r="B118" s="33"/>
      <c r="C118" s="33"/>
      <c r="D118" s="67"/>
      <c r="E118" s="9"/>
      <c r="F118" s="5"/>
      <c r="G118" s="5"/>
      <c r="H118" s="5"/>
    </row>
    <row r="119" spans="1:5" ht="12.75">
      <c r="A119" s="47" t="str">
        <f>"Banks - "&amp;TEXT((H126)/$H$277,"##0.00%")</f>
        <v>Banks - 13.10%</v>
      </c>
      <c r="B119" s="47"/>
      <c r="C119" s="47"/>
      <c r="D119" s="70"/>
      <c r="E119" s="47"/>
    </row>
    <row r="120" spans="1:8" ht="12.75">
      <c r="A120" s="33" t="s">
        <v>90</v>
      </c>
      <c r="B120" s="33"/>
      <c r="C120" s="33"/>
      <c r="D120" s="71"/>
      <c r="E120" s="71"/>
      <c r="F120" s="8">
        <v>4200000</v>
      </c>
      <c r="H120" s="8">
        <v>4253869</v>
      </c>
    </row>
    <row r="121" spans="1:8" ht="12.75">
      <c r="A121" s="33" t="s">
        <v>89</v>
      </c>
      <c r="B121" s="33"/>
      <c r="C121" s="33"/>
      <c r="D121" s="71"/>
      <c r="E121" s="33"/>
      <c r="F121" s="8">
        <v>2000000</v>
      </c>
      <c r="H121" s="8">
        <v>2058426</v>
      </c>
    </row>
    <row r="122" spans="1:8" ht="12.75">
      <c r="A122" s="33" t="s">
        <v>109</v>
      </c>
      <c r="B122" s="33"/>
      <c r="C122" s="33"/>
      <c r="D122" s="77"/>
      <c r="E122" s="33"/>
      <c r="F122" s="8">
        <v>4000000</v>
      </c>
      <c r="H122" s="8">
        <v>4007000</v>
      </c>
    </row>
    <row r="123" spans="1:8" ht="12.75">
      <c r="A123" s="33" t="s">
        <v>110</v>
      </c>
      <c r="B123" s="33"/>
      <c r="C123" s="33"/>
      <c r="D123" s="71"/>
      <c r="E123" s="33"/>
      <c r="F123" s="8">
        <v>4504000</v>
      </c>
      <c r="H123" s="8">
        <v>4619771</v>
      </c>
    </row>
    <row r="124" spans="1:8" ht="12.75">
      <c r="A124" s="33" t="s">
        <v>133</v>
      </c>
      <c r="B124" s="33"/>
      <c r="C124" s="33"/>
      <c r="D124" s="71"/>
      <c r="E124" s="33"/>
      <c r="F124" s="8">
        <v>5700000</v>
      </c>
      <c r="H124" s="8">
        <v>5815425</v>
      </c>
    </row>
    <row r="125" spans="1:5" ht="12.75">
      <c r="A125" s="33"/>
      <c r="B125" s="33"/>
      <c r="C125" s="33"/>
      <c r="D125" s="71"/>
      <c r="E125" s="33"/>
    </row>
    <row r="126" spans="1:9" ht="12.75">
      <c r="A126" s="33"/>
      <c r="B126" s="33"/>
      <c r="C126" s="33"/>
      <c r="D126" s="71"/>
      <c r="E126" s="33"/>
      <c r="H126" s="8">
        <f>SUM(H120:H125)</f>
        <v>20754491</v>
      </c>
      <c r="I126" s="27">
        <f>H126/$H$277</f>
        <v>0.1309518311172686</v>
      </c>
    </row>
    <row r="127" spans="1:5" ht="12.75">
      <c r="A127" s="33"/>
      <c r="B127" s="33"/>
      <c r="C127" s="33"/>
      <c r="D127" s="71"/>
      <c r="E127" s="33"/>
    </row>
    <row r="128" spans="1:5" ht="12.75">
      <c r="A128" s="47" t="str">
        <f>"Basic Materials - "&amp;TEXT((H129)/$H$277,"##0.00%")</f>
        <v>Basic Materials - 2.07%</v>
      </c>
      <c r="B128" s="47"/>
      <c r="C128" s="47"/>
      <c r="D128" s="70"/>
      <c r="E128" s="47"/>
    </row>
    <row r="129" spans="1:9" ht="12.75">
      <c r="A129" s="33" t="s">
        <v>68</v>
      </c>
      <c r="B129" s="33"/>
      <c r="C129" s="33"/>
      <c r="D129" s="71"/>
      <c r="E129" s="33"/>
      <c r="F129" s="8">
        <v>3085000</v>
      </c>
      <c r="H129" s="8">
        <v>3281650</v>
      </c>
      <c r="I129" s="27">
        <f>H129/$H$277</f>
        <v>0.020705787320247197</v>
      </c>
    </row>
    <row r="130" spans="1:5" ht="12.75">
      <c r="A130" s="33"/>
      <c r="B130" s="33"/>
      <c r="C130" s="33"/>
      <c r="D130" s="71"/>
      <c r="E130" s="33"/>
    </row>
    <row r="131" spans="1:5" ht="12.75">
      <c r="A131" s="47" t="str">
        <f>"Communication Equipment - "&amp;TEXT((H132)/$H$277,"##0.00%")</f>
        <v>Communication Equipment - 3.57%</v>
      </c>
      <c r="B131" s="47"/>
      <c r="C131" s="47"/>
      <c r="D131" s="70"/>
      <c r="E131" s="47"/>
    </row>
    <row r="132" spans="1:9" ht="12.75">
      <c r="A132" s="33" t="s">
        <v>60</v>
      </c>
      <c r="B132" s="33"/>
      <c r="C132" s="33"/>
      <c r="D132" s="71"/>
      <c r="E132" s="33"/>
      <c r="F132" s="8">
        <v>5645000</v>
      </c>
      <c r="H132" s="8">
        <v>5664249</v>
      </c>
      <c r="I132" s="27">
        <f>H132/$H$277</f>
        <v>0.03573895300319134</v>
      </c>
    </row>
    <row r="133" spans="1:5" ht="12.75">
      <c r="A133" s="33"/>
      <c r="B133" s="33"/>
      <c r="C133" s="33"/>
      <c r="D133" s="71"/>
      <c r="E133" s="33"/>
    </row>
    <row r="134" spans="1:5" ht="12.75">
      <c r="A134" s="93" t="str">
        <f>"Financial Services - "&amp;TEXT((H137)/$H$277,"##0.00%")</f>
        <v>Financial Services - 1.30%</v>
      </c>
      <c r="B134" s="93"/>
      <c r="C134" s="93"/>
      <c r="D134" s="96"/>
      <c r="E134" s="47"/>
    </row>
    <row r="135" spans="1:8" ht="12.75">
      <c r="A135" s="58" t="s">
        <v>61</v>
      </c>
      <c r="B135" s="58"/>
      <c r="C135" s="58"/>
      <c r="D135" s="97"/>
      <c r="E135" s="33"/>
      <c r="F135" s="8">
        <v>1940000</v>
      </c>
      <c r="H135" s="8">
        <v>2053345</v>
      </c>
    </row>
    <row r="136" spans="1:5" ht="12.75">
      <c r="A136" s="33"/>
      <c r="B136" s="33"/>
      <c r="C136" s="33"/>
      <c r="D136" s="71"/>
      <c r="E136" s="33"/>
    </row>
    <row r="137" spans="1:9" ht="12.75">
      <c r="A137" s="33"/>
      <c r="B137" s="33"/>
      <c r="C137" s="33"/>
      <c r="D137" s="71"/>
      <c r="E137" s="33"/>
      <c r="H137" s="8">
        <f>SUM(H135:H136)</f>
        <v>2053345</v>
      </c>
      <c r="I137" s="27">
        <f>H137/$H$277</f>
        <v>0.012955715833526725</v>
      </c>
    </row>
    <row r="138" spans="1:5" ht="12.75">
      <c r="A138" s="33"/>
      <c r="B138" s="33"/>
      <c r="C138" s="33"/>
      <c r="D138" s="71"/>
      <c r="E138" s="33"/>
    </row>
    <row r="139" spans="1:5" ht="12.75">
      <c r="A139" s="47" t="str">
        <f>"Food &amp; Beverage - "&amp;TEXT((H140)/$H$277,"##0.00%")</f>
        <v>Food &amp; Beverage - 0.68%</v>
      </c>
      <c r="B139" s="47"/>
      <c r="C139" s="47"/>
      <c r="D139" s="78"/>
      <c r="E139" s="47"/>
    </row>
    <row r="140" spans="1:9" ht="12.75">
      <c r="A140" s="33" t="s">
        <v>62</v>
      </c>
      <c r="B140" s="33"/>
      <c r="C140" s="33"/>
      <c r="D140" s="71"/>
      <c r="E140" s="33"/>
      <c r="F140" s="8">
        <v>1000000</v>
      </c>
      <c r="H140" s="8">
        <v>1074262</v>
      </c>
      <c r="I140" s="27">
        <f>H140/$H$277</f>
        <v>0.006778127008737493</v>
      </c>
    </row>
    <row r="141" spans="1:5" ht="12.75">
      <c r="A141" s="33"/>
      <c r="B141" s="33"/>
      <c r="C141" s="33"/>
      <c r="D141" s="71"/>
      <c r="E141" s="33"/>
    </row>
    <row r="142" spans="1:5" ht="12.75">
      <c r="A142" s="47" t="str">
        <f>"Government Owned - No Guarantee - "&amp;TEXT((H147)/$H$277,"##0.00%")</f>
        <v>Government Owned - No Guarantee - 3.81%</v>
      </c>
      <c r="B142" s="47"/>
      <c r="C142" s="47"/>
      <c r="D142" s="70"/>
      <c r="E142" s="47"/>
    </row>
    <row r="143" spans="1:8" ht="12.75">
      <c r="A143" s="33" t="s">
        <v>134</v>
      </c>
      <c r="B143" s="33"/>
      <c r="C143" s="33"/>
      <c r="D143" s="71"/>
      <c r="E143" s="33"/>
      <c r="F143" s="8">
        <v>3000000</v>
      </c>
      <c r="H143" s="8">
        <v>3243861</v>
      </c>
    </row>
    <row r="144" spans="1:8" ht="12.75">
      <c r="A144" s="33" t="s">
        <v>111</v>
      </c>
      <c r="B144" s="33"/>
      <c r="C144" s="33"/>
      <c r="D144" s="71"/>
      <c r="E144" s="33"/>
      <c r="F144" s="8">
        <v>1000000</v>
      </c>
      <c r="H144" s="8">
        <v>1062636</v>
      </c>
    </row>
    <row r="145" spans="1:8" ht="12.75">
      <c r="A145" s="33" t="s">
        <v>135</v>
      </c>
      <c r="B145" s="33"/>
      <c r="C145" s="33"/>
      <c r="D145" s="71"/>
      <c r="E145" s="33"/>
      <c r="F145" s="8">
        <v>1500000</v>
      </c>
      <c r="H145" s="8">
        <v>1725975</v>
      </c>
    </row>
    <row r="146" spans="1:5" ht="12.75">
      <c r="A146" s="33"/>
      <c r="B146" s="33"/>
      <c r="C146" s="33"/>
      <c r="D146" s="71"/>
      <c r="E146" s="33"/>
    </row>
    <row r="147" spans="1:9" ht="12.75">
      <c r="A147" s="33"/>
      <c r="B147" s="33"/>
      <c r="C147" s="33"/>
      <c r="D147" s="71"/>
      <c r="E147" s="33"/>
      <c r="H147" s="8">
        <f>SUM(H143:H146)</f>
        <v>6032472</v>
      </c>
      <c r="I147" s="27">
        <f>H147/$H$277</f>
        <v>0.03806228033073187</v>
      </c>
    </row>
    <row r="148" spans="1:5" ht="12.75">
      <c r="A148" s="33"/>
      <c r="B148" s="33"/>
      <c r="C148" s="33"/>
      <c r="D148" s="71"/>
      <c r="E148" s="33"/>
    </row>
    <row r="149" spans="1:5" ht="12.75">
      <c r="A149" s="93" t="str">
        <f>"Home Construction - "&amp;TEXT((H152)/$H$277,"##0.00%")</f>
        <v>Home Construction - 1.59%</v>
      </c>
      <c r="B149" s="93"/>
      <c r="C149" s="93"/>
      <c r="D149" s="96"/>
      <c r="E149" s="47"/>
    </row>
    <row r="150" spans="1:8" ht="12.75">
      <c r="A150" s="33" t="s">
        <v>136</v>
      </c>
      <c r="B150" s="58"/>
      <c r="C150" s="58"/>
      <c r="D150" s="97"/>
      <c r="E150" s="33"/>
      <c r="F150" s="8">
        <v>2500000</v>
      </c>
      <c r="H150" s="8">
        <v>2515250</v>
      </c>
    </row>
    <row r="151" spans="1:5" ht="12.75">
      <c r="A151" s="33"/>
      <c r="B151" s="33"/>
      <c r="C151" s="33"/>
      <c r="D151" s="71"/>
      <c r="E151" s="33"/>
    </row>
    <row r="152" spans="1:9" ht="12.75">
      <c r="A152" s="33"/>
      <c r="B152" s="33"/>
      <c r="C152" s="33"/>
      <c r="D152" s="71"/>
      <c r="E152" s="33"/>
      <c r="H152" s="8">
        <f>SUM(H150:H151)</f>
        <v>2515250</v>
      </c>
      <c r="I152" s="27">
        <f>H152/$H$277</f>
        <v>0.015870135924687813</v>
      </c>
    </row>
    <row r="153" spans="1:5" ht="12.75">
      <c r="A153" s="33"/>
      <c r="B153" s="33"/>
      <c r="C153" s="33"/>
      <c r="D153" s="71"/>
      <c r="E153" s="33"/>
    </row>
    <row r="154" spans="1:5" ht="12.75">
      <c r="A154" s="47" t="str">
        <f>"Real Estate - "&amp;TEXT((H158)/$H$277,"##0.00%")</f>
        <v>Real Estate - 1.85%</v>
      </c>
      <c r="B154" s="47"/>
      <c r="C154" s="47"/>
      <c r="D154" s="70"/>
      <c r="E154" s="47"/>
    </row>
    <row r="155" spans="1:8" ht="12.75">
      <c r="A155" s="33" t="s">
        <v>63</v>
      </c>
      <c r="B155" s="33"/>
      <c r="C155" s="33"/>
      <c r="D155" s="71"/>
      <c r="E155" s="33"/>
      <c r="F155" s="8">
        <v>1400000</v>
      </c>
      <c r="H155" s="8">
        <v>1379000</v>
      </c>
    </row>
    <row r="156" spans="1:8" ht="12.75">
      <c r="A156" s="33" t="s">
        <v>64</v>
      </c>
      <c r="B156" s="33"/>
      <c r="C156" s="33"/>
      <c r="D156" s="71"/>
      <c r="E156" s="33"/>
      <c r="F156" s="8">
        <v>1500000</v>
      </c>
      <c r="H156" s="8">
        <v>1559658</v>
      </c>
    </row>
    <row r="157" spans="1:5" ht="12.75">
      <c r="A157" s="33"/>
      <c r="B157" s="33"/>
      <c r="C157" s="33"/>
      <c r="D157" s="71"/>
      <c r="E157" s="33"/>
    </row>
    <row r="158" spans="1:9" ht="12.75">
      <c r="A158" s="33"/>
      <c r="B158" s="33"/>
      <c r="C158" s="33"/>
      <c r="D158" s="71"/>
      <c r="E158" s="33"/>
      <c r="H158" s="8">
        <f>SUM(H155:H157)</f>
        <v>2938658</v>
      </c>
      <c r="I158" s="27">
        <f>H158/$H$277</f>
        <v>0.01854165665288589</v>
      </c>
    </row>
    <row r="159" spans="1:5" ht="12.75">
      <c r="A159" s="33"/>
      <c r="B159" s="33"/>
      <c r="C159" s="33"/>
      <c r="D159" s="71"/>
      <c r="E159" s="33"/>
    </row>
    <row r="160" spans="1:5" ht="12.75">
      <c r="A160" s="93" t="str">
        <f>"REITS - "&amp;TEXT((H163)/$H$277,"##0.00%")</f>
        <v>REITS - 0.79%</v>
      </c>
      <c r="B160" s="93"/>
      <c r="C160" s="93"/>
      <c r="D160" s="96"/>
      <c r="E160" s="47"/>
    </row>
    <row r="161" spans="1:8" ht="12.75">
      <c r="A161" s="33" t="s">
        <v>137</v>
      </c>
      <c r="B161" s="58"/>
      <c r="C161" s="58"/>
      <c r="D161" s="97"/>
      <c r="E161" s="33"/>
      <c r="F161" s="8">
        <v>1200000</v>
      </c>
      <c r="H161" s="8">
        <v>1252042</v>
      </c>
    </row>
    <row r="162" spans="1:5" ht="12.75">
      <c r="A162" s="33"/>
      <c r="B162" s="33"/>
      <c r="C162" s="33"/>
      <c r="D162" s="71"/>
      <c r="E162" s="33"/>
    </row>
    <row r="163" spans="1:9" ht="12.75">
      <c r="A163" s="33"/>
      <c r="B163" s="33"/>
      <c r="C163" s="33"/>
      <c r="D163" s="71"/>
      <c r="E163" s="33"/>
      <c r="H163" s="8">
        <f>SUM(H161:H162)</f>
        <v>1252042</v>
      </c>
      <c r="I163" s="27">
        <f>H163/$H$277</f>
        <v>0.007899841655270044</v>
      </c>
    </row>
    <row r="164" spans="1:5" ht="12.75">
      <c r="A164" s="33"/>
      <c r="B164" s="33"/>
      <c r="C164" s="33"/>
      <c r="D164" s="71"/>
      <c r="E164" s="33"/>
    </row>
    <row r="165" spans="1:8" ht="12.75">
      <c r="A165" s="93" t="str">
        <f>"Sovereigns - "&amp;TEXT((H189)/$H$277,"##0.00%")</f>
        <v>Sovereigns - 27.47%</v>
      </c>
      <c r="B165" s="93"/>
      <c r="C165" s="93"/>
      <c r="D165" s="96"/>
      <c r="E165" s="93"/>
      <c r="F165" s="54"/>
      <c r="G165" s="54"/>
      <c r="H165" s="54"/>
    </row>
    <row r="166" spans="1:8" ht="12.75">
      <c r="A166" s="58" t="s">
        <v>96</v>
      </c>
      <c r="B166" s="58"/>
      <c r="C166" s="58"/>
      <c r="D166" s="97"/>
      <c r="E166" s="58"/>
      <c r="F166" s="54">
        <v>1500000</v>
      </c>
      <c r="G166" s="54"/>
      <c r="H166" s="54">
        <v>1465596</v>
      </c>
    </row>
    <row r="167" spans="1:8" ht="12.75">
      <c r="A167" s="58" t="s">
        <v>94</v>
      </c>
      <c r="B167" s="58"/>
      <c r="C167" s="58"/>
      <c r="D167" s="97"/>
      <c r="E167" s="58"/>
      <c r="F167" s="54">
        <v>1000000</v>
      </c>
      <c r="G167" s="54"/>
      <c r="H167" s="54">
        <v>1077450</v>
      </c>
    </row>
    <row r="168" spans="1:8" ht="12.75">
      <c r="A168" s="58" t="s">
        <v>94</v>
      </c>
      <c r="B168" s="58"/>
      <c r="C168" s="58"/>
      <c r="D168" s="97"/>
      <c r="E168" s="58"/>
      <c r="F168" s="54">
        <v>500000</v>
      </c>
      <c r="G168" s="54"/>
      <c r="H168" s="54">
        <v>536245</v>
      </c>
    </row>
    <row r="169" spans="1:8" ht="12.75">
      <c r="A169" s="58" t="s">
        <v>95</v>
      </c>
      <c r="B169" s="58"/>
      <c r="C169" s="58"/>
      <c r="D169" s="97"/>
      <c r="E169" s="58"/>
      <c r="F169" s="54">
        <v>1250000</v>
      </c>
      <c r="G169" s="54"/>
      <c r="H169" s="54">
        <v>1302743</v>
      </c>
    </row>
    <row r="170" spans="1:8" ht="12.75">
      <c r="A170" s="58" t="s">
        <v>92</v>
      </c>
      <c r="B170" s="58"/>
      <c r="C170" s="58"/>
      <c r="D170" s="97"/>
      <c r="E170" s="58"/>
      <c r="F170" s="54">
        <v>1000000</v>
      </c>
      <c r="G170" s="54"/>
      <c r="H170" s="54">
        <v>974500</v>
      </c>
    </row>
    <row r="171" spans="1:8" ht="12.75">
      <c r="A171" s="58" t="s">
        <v>91</v>
      </c>
      <c r="B171" s="58"/>
      <c r="C171" s="58"/>
      <c r="D171" s="97"/>
      <c r="E171" s="58"/>
      <c r="F171" s="54">
        <v>1000000</v>
      </c>
      <c r="G171" s="54"/>
      <c r="H171" s="54">
        <v>992130</v>
      </c>
    </row>
    <row r="172" spans="1:8" ht="12.75">
      <c r="A172" s="58" t="s">
        <v>93</v>
      </c>
      <c r="B172" s="58"/>
      <c r="C172" s="58"/>
      <c r="D172" s="97"/>
      <c r="E172" s="58"/>
      <c r="F172" s="54">
        <v>1000000</v>
      </c>
      <c r="G172" s="54"/>
      <c r="H172" s="54">
        <v>994900</v>
      </c>
    </row>
    <row r="173" spans="1:8" ht="12.75">
      <c r="A173" s="58" t="s">
        <v>97</v>
      </c>
      <c r="B173" s="58"/>
      <c r="C173" s="58"/>
      <c r="D173" s="97"/>
      <c r="E173" s="58"/>
      <c r="F173" s="54">
        <v>2000000</v>
      </c>
      <c r="G173" s="54"/>
      <c r="H173" s="54">
        <v>2070240</v>
      </c>
    </row>
    <row r="174" spans="1:8" ht="12.75">
      <c r="A174" s="58" t="s">
        <v>97</v>
      </c>
      <c r="B174" s="58"/>
      <c r="C174" s="58"/>
      <c r="D174" s="97"/>
      <c r="E174" s="58"/>
      <c r="F174" s="54">
        <v>517000</v>
      </c>
      <c r="G174" s="54"/>
      <c r="H174" s="54">
        <v>535157</v>
      </c>
    </row>
    <row r="175" spans="1:8" ht="12.75">
      <c r="A175" s="58" t="s">
        <v>99</v>
      </c>
      <c r="B175" s="58"/>
      <c r="C175" s="58"/>
      <c r="D175" s="97"/>
      <c r="E175" s="58"/>
      <c r="F175" s="54">
        <v>2800000</v>
      </c>
      <c r="G175" s="54"/>
      <c r="H175" s="54">
        <v>3076220</v>
      </c>
    </row>
    <row r="176" spans="1:8" ht="12.75">
      <c r="A176" s="58" t="s">
        <v>98</v>
      </c>
      <c r="B176" s="58"/>
      <c r="C176" s="58"/>
      <c r="D176" s="97"/>
      <c r="E176" s="58"/>
      <c r="F176" s="54">
        <v>1685000</v>
      </c>
      <c r="G176" s="54"/>
      <c r="H176" s="54">
        <v>1893957</v>
      </c>
    </row>
    <row r="177" spans="1:8" ht="12.75">
      <c r="A177" s="58" t="s">
        <v>102</v>
      </c>
      <c r="B177" s="58"/>
      <c r="C177" s="58"/>
      <c r="D177" s="97"/>
      <c r="E177" s="58"/>
      <c r="F177" s="54">
        <v>1500000</v>
      </c>
      <c r="G177" s="54"/>
      <c r="H177" s="54">
        <v>1592115</v>
      </c>
    </row>
    <row r="178" spans="1:8" ht="12.75">
      <c r="A178" s="58" t="s">
        <v>100</v>
      </c>
      <c r="B178" s="58"/>
      <c r="C178" s="58"/>
      <c r="D178" s="97"/>
      <c r="E178" s="58"/>
      <c r="F178" s="54">
        <v>2100000</v>
      </c>
      <c r="G178" s="54"/>
      <c r="H178" s="54">
        <v>2164319</v>
      </c>
    </row>
    <row r="179" spans="1:8" ht="12.75">
      <c r="A179" s="58" t="s">
        <v>101</v>
      </c>
      <c r="B179" s="58"/>
      <c r="C179" s="58"/>
      <c r="D179" s="97"/>
      <c r="E179" s="58"/>
      <c r="F179" s="54">
        <v>2500000</v>
      </c>
      <c r="G179" s="54"/>
      <c r="H179" s="54">
        <v>2897375</v>
      </c>
    </row>
    <row r="180" spans="1:8" ht="12.75">
      <c r="A180" s="58" t="s">
        <v>103</v>
      </c>
      <c r="B180" s="58"/>
      <c r="C180" s="58"/>
      <c r="D180" s="97"/>
      <c r="E180" s="58"/>
      <c r="F180" s="54">
        <v>500000</v>
      </c>
      <c r="G180" s="54"/>
      <c r="H180" s="54">
        <v>496435</v>
      </c>
    </row>
    <row r="181" spans="1:8" ht="12.75">
      <c r="A181" s="58" t="s">
        <v>104</v>
      </c>
      <c r="B181" s="58"/>
      <c r="C181" s="58"/>
      <c r="D181" s="97"/>
      <c r="E181" s="58"/>
      <c r="F181" s="54">
        <v>2500000</v>
      </c>
      <c r="G181" s="54"/>
      <c r="H181" s="54">
        <v>2615750</v>
      </c>
    </row>
    <row r="182" spans="1:8" ht="12.75">
      <c r="A182" s="58" t="s">
        <v>105</v>
      </c>
      <c r="B182" s="58"/>
      <c r="C182" s="58"/>
      <c r="D182" s="97"/>
      <c r="E182" s="58"/>
      <c r="F182" s="54">
        <v>2500000</v>
      </c>
      <c r="G182" s="54"/>
      <c r="H182" s="54">
        <v>2597625</v>
      </c>
    </row>
    <row r="183" spans="1:8" ht="12.75">
      <c r="A183" s="58" t="s">
        <v>106</v>
      </c>
      <c r="B183" s="58"/>
      <c r="C183" s="58"/>
      <c r="D183" s="97"/>
      <c r="E183" s="58"/>
      <c r="F183" s="54">
        <v>2600000</v>
      </c>
      <c r="G183" s="54"/>
      <c r="H183" s="54">
        <v>2720744</v>
      </c>
    </row>
    <row r="184" spans="1:8" ht="12.75">
      <c r="A184" s="58" t="s">
        <v>69</v>
      </c>
      <c r="B184" s="58"/>
      <c r="C184" s="58"/>
      <c r="D184" s="97"/>
      <c r="E184" s="58"/>
      <c r="F184" s="54">
        <v>2500000</v>
      </c>
      <c r="G184" s="54"/>
      <c r="H184" s="54">
        <v>2641075</v>
      </c>
    </row>
    <row r="185" spans="1:8" ht="12.75">
      <c r="A185" s="58" t="s">
        <v>108</v>
      </c>
      <c r="B185" s="58"/>
      <c r="C185" s="58"/>
      <c r="D185" s="97"/>
      <c r="E185" s="58"/>
      <c r="F185" s="54">
        <v>6250000</v>
      </c>
      <c r="G185" s="54"/>
      <c r="H185" s="54">
        <v>6306894</v>
      </c>
    </row>
    <row r="186" spans="1:8" ht="12.75">
      <c r="A186" s="58" t="s">
        <v>138</v>
      </c>
      <c r="B186" s="58"/>
      <c r="C186" s="58"/>
      <c r="D186" s="97"/>
      <c r="E186" s="58"/>
      <c r="F186" s="54">
        <v>1000000</v>
      </c>
      <c r="G186" s="54"/>
      <c r="H186" s="54">
        <v>1089754</v>
      </c>
    </row>
    <row r="187" spans="1:8" ht="12.75">
      <c r="A187" s="58" t="s">
        <v>139</v>
      </c>
      <c r="B187" s="58"/>
      <c r="C187" s="58"/>
      <c r="D187" s="97"/>
      <c r="E187" s="58"/>
      <c r="F187" s="54">
        <v>3400000</v>
      </c>
      <c r="G187" s="54"/>
      <c r="H187" s="54">
        <v>3498906</v>
      </c>
    </row>
    <row r="188" spans="1:8" ht="12.75">
      <c r="A188" s="58"/>
      <c r="B188" s="58"/>
      <c r="C188" s="58"/>
      <c r="D188" s="97"/>
      <c r="E188" s="58"/>
      <c r="F188" s="54"/>
      <c r="G188" s="54"/>
      <c r="H188" s="54"/>
    </row>
    <row r="189" spans="1:9" ht="12.75">
      <c r="A189" s="58"/>
      <c r="B189" s="58"/>
      <c r="C189" s="58"/>
      <c r="D189" s="97"/>
      <c r="E189" s="58"/>
      <c r="F189" s="54"/>
      <c r="G189" s="54"/>
      <c r="H189" s="54">
        <f>SUM(H166:H188)</f>
        <v>43540130</v>
      </c>
      <c r="I189" s="27">
        <f>H189/$H$277</f>
        <v>0.2747193246311808</v>
      </c>
    </row>
    <row r="190" spans="1:5" ht="12.75">
      <c r="A190" s="33"/>
      <c r="B190" s="33"/>
      <c r="C190" s="33"/>
      <c r="D190" s="71"/>
      <c r="E190" s="33"/>
    </row>
    <row r="191" spans="1:5" ht="12.75">
      <c r="A191" s="47" t="str">
        <f>"Supranationals - "&amp;TEXT((H192)/$H$277,"##0.00%")</f>
        <v>Supranationals - 1.40%</v>
      </c>
      <c r="B191" s="47"/>
      <c r="C191" s="47"/>
      <c r="D191" s="70"/>
      <c r="E191" s="47"/>
    </row>
    <row r="192" spans="1:8" ht="12.75">
      <c r="A192" s="58" t="s">
        <v>140</v>
      </c>
      <c r="B192" s="33"/>
      <c r="C192" s="33"/>
      <c r="D192" s="71"/>
      <c r="E192" s="33"/>
      <c r="F192" s="8">
        <v>2000000</v>
      </c>
      <c r="H192" s="8">
        <v>2220160</v>
      </c>
    </row>
    <row r="193" spans="1:8" ht="12.75">
      <c r="A193" s="58" t="s">
        <v>141</v>
      </c>
      <c r="B193" s="33"/>
      <c r="C193" s="33"/>
      <c r="D193" s="71"/>
      <c r="E193" s="33"/>
      <c r="F193" s="8">
        <v>4070000</v>
      </c>
      <c r="H193" s="8">
        <v>4250317</v>
      </c>
    </row>
    <row r="194" spans="1:8" ht="12.75">
      <c r="A194" s="58" t="s">
        <v>107</v>
      </c>
      <c r="B194" s="33"/>
      <c r="C194" s="33"/>
      <c r="D194" s="71"/>
      <c r="E194" s="33"/>
      <c r="F194" s="8">
        <v>2000000</v>
      </c>
      <c r="H194" s="8">
        <v>2004570</v>
      </c>
    </row>
    <row r="195" spans="1:8" ht="12.75">
      <c r="A195" s="58" t="s">
        <v>142</v>
      </c>
      <c r="B195" s="33"/>
      <c r="C195" s="33"/>
      <c r="D195" s="71"/>
      <c r="E195" s="33"/>
      <c r="F195" s="8">
        <v>2500000</v>
      </c>
      <c r="H195" s="8">
        <v>2610104</v>
      </c>
    </row>
    <row r="196" spans="1:8" ht="12.75">
      <c r="A196" s="58" t="s">
        <v>143</v>
      </c>
      <c r="B196" s="33"/>
      <c r="C196" s="33"/>
      <c r="D196" s="71"/>
      <c r="E196" s="33"/>
      <c r="F196" s="8">
        <v>1000000</v>
      </c>
      <c r="H196" s="8">
        <v>1078742</v>
      </c>
    </row>
    <row r="197" spans="1:5" ht="12.75">
      <c r="A197" s="33"/>
      <c r="B197" s="33"/>
      <c r="C197" s="33"/>
      <c r="D197" s="71"/>
      <c r="E197" s="33"/>
    </row>
    <row r="198" spans="1:9" ht="12.75">
      <c r="A198" s="33"/>
      <c r="B198" s="33"/>
      <c r="C198" s="33"/>
      <c r="D198" s="71"/>
      <c r="E198" s="33"/>
      <c r="H198" s="8">
        <f>SUM(H192:H197)</f>
        <v>12163893</v>
      </c>
      <c r="I198" s="27">
        <f>H198/$H$277</f>
        <v>0.07674888590929674</v>
      </c>
    </row>
    <row r="199" spans="1:5" ht="12.75">
      <c r="A199" s="33"/>
      <c r="B199" s="33"/>
      <c r="C199" s="33"/>
      <c r="D199" s="71"/>
      <c r="E199" s="33"/>
    </row>
    <row r="200" spans="1:5" ht="12.75">
      <c r="A200" s="47" t="str">
        <f>"Transportation &amp; Logistics - "&amp;TEXT((H201)/$H$277,"##0.00%")</f>
        <v>Transportation &amp; Logistics - 1.33%</v>
      </c>
      <c r="B200" s="47"/>
      <c r="C200" s="47"/>
      <c r="D200" s="70"/>
      <c r="E200" s="47"/>
    </row>
    <row r="201" spans="1:9" ht="12.75">
      <c r="A201" s="33" t="s">
        <v>71</v>
      </c>
      <c r="B201" s="33"/>
      <c r="C201" s="33"/>
      <c r="D201" s="71"/>
      <c r="E201" s="33"/>
      <c r="F201" s="8">
        <v>2000000</v>
      </c>
      <c r="H201" s="8">
        <v>2110200</v>
      </c>
      <c r="I201" s="27">
        <f>H201/$H$277</f>
        <v>0.013314446209432947</v>
      </c>
    </row>
    <row r="202" spans="1:5" ht="12.75">
      <c r="A202" s="33"/>
      <c r="B202" s="33"/>
      <c r="C202" s="33"/>
      <c r="D202" s="71"/>
      <c r="E202" s="33"/>
    </row>
    <row r="203" spans="1:5" ht="12.75">
      <c r="A203" s="47" t="str">
        <f>"Utilities - "&amp;TEXT((H204)/$H$277,"##0.00%")</f>
        <v>Utilities - 3.76%</v>
      </c>
      <c r="B203" s="47"/>
      <c r="C203" s="47"/>
      <c r="D203" s="70"/>
      <c r="E203" s="47"/>
    </row>
    <row r="204" spans="1:9" ht="12.75">
      <c r="A204" s="33" t="s">
        <v>70</v>
      </c>
      <c r="B204" s="33"/>
      <c r="C204" s="33"/>
      <c r="D204" s="71"/>
      <c r="E204" s="33"/>
      <c r="F204" s="8">
        <v>5700000</v>
      </c>
      <c r="H204" s="8">
        <v>5951729</v>
      </c>
      <c r="I204" s="27">
        <f>H204/$H$277</f>
        <v>0.037552827041807485</v>
      </c>
    </row>
    <row r="205" spans="1:5" ht="12.75">
      <c r="A205" s="33"/>
      <c r="B205" s="33"/>
      <c r="C205" s="33"/>
      <c r="D205" s="71"/>
      <c r="E205" s="33"/>
    </row>
    <row r="206" spans="1:5" ht="12.75">
      <c r="A206" s="47" t="str">
        <f>"Wireline Telecommunications Services - "&amp;TEXT((H207)/$H$277,"##0.00%")</f>
        <v>Wireline Telecommunications Services - 0.71%</v>
      </c>
      <c r="B206" s="47"/>
      <c r="C206" s="47"/>
      <c r="D206" s="70"/>
      <c r="E206" s="47"/>
    </row>
    <row r="207" spans="1:9" ht="12.75">
      <c r="A207" s="33" t="s">
        <v>72</v>
      </c>
      <c r="B207" s="33"/>
      <c r="C207" s="33"/>
      <c r="D207" s="71"/>
      <c r="E207" s="33"/>
      <c r="F207" s="8">
        <v>1000000</v>
      </c>
      <c r="H207" s="8">
        <v>1120630</v>
      </c>
      <c r="I207" s="27">
        <f>H207/$H$277</f>
        <v>0.0070706889658216495</v>
      </c>
    </row>
    <row r="208" spans="1:5" ht="12.75">
      <c r="A208" s="33"/>
      <c r="B208" s="33"/>
      <c r="C208" s="33"/>
      <c r="D208" s="71"/>
      <c r="E208" s="33"/>
    </row>
    <row r="209" spans="1:13" ht="12.75">
      <c r="A209" s="33" t="s">
        <v>75</v>
      </c>
      <c r="B209" s="33"/>
      <c r="C209" s="33"/>
      <c r="D209" s="67"/>
      <c r="E209" s="33"/>
      <c r="F209" s="8" t="s">
        <v>144</v>
      </c>
      <c r="H209" s="8">
        <f>H207+H204+H201+H189+H158+H140+H137+H132+H129+H126+H163+H152+H147+H198</f>
        <v>110453001</v>
      </c>
      <c r="I209" s="27">
        <f>H209/$H$277</f>
        <v>0.6969105016040866</v>
      </c>
      <c r="J209" s="60">
        <v>108588662</v>
      </c>
      <c r="K209" s="60">
        <v>110453001</v>
      </c>
      <c r="L209" s="31">
        <f>K209-H209</f>
        <v>0</v>
      </c>
      <c r="M209" s="27">
        <v>0.5204</v>
      </c>
    </row>
    <row r="210" spans="1:5" ht="12.75">
      <c r="A210" s="33"/>
      <c r="B210" s="33"/>
      <c r="C210" s="33"/>
      <c r="D210" s="67"/>
      <c r="E210" s="33"/>
    </row>
    <row r="211" spans="1:8" ht="12.75">
      <c r="A211" s="35" t="str">
        <f>"Bank Time Deposits - "&amp;TEXT((H218)/$H$277,"##0.00% (5)")</f>
        <v>Bank Time Deposits - 15.07% (5)</v>
      </c>
      <c r="B211" s="35"/>
      <c r="C211" s="35"/>
      <c r="D211" s="66"/>
      <c r="E211" s="35"/>
      <c r="F211" s="35"/>
      <c r="G211" s="35"/>
      <c r="H211" s="35"/>
    </row>
    <row r="212" spans="1:5" ht="12.75">
      <c r="A212" s="33"/>
      <c r="B212" s="33"/>
      <c r="C212" s="33"/>
      <c r="D212" s="72"/>
      <c r="E212" s="4"/>
    </row>
    <row r="213" spans="1:9" ht="12.75">
      <c r="A213" s="104" t="str">
        <f>"Arab Banking Corp., NY Branch, 2.06% - 2.17%, 11-23-2020 - 01/11/2021 (Bahrain) - "&amp;TEXT((H213)/$H$277,"##0.00% ")</f>
        <v>Arab Banking Corp., NY Branch, 2.06% - 2.17%, 11-23-2020 - 01/11/2021 (Bahrain) - 2.61% </v>
      </c>
      <c r="B213" s="58"/>
      <c r="C213" s="58"/>
      <c r="D213" s="95"/>
      <c r="E213" s="33"/>
      <c r="F213" s="8">
        <v>4134358</v>
      </c>
      <c r="H213" s="8">
        <v>4134358</v>
      </c>
      <c r="I213" s="27">
        <f>H213/$H$277</f>
        <v>0.02608600473961652</v>
      </c>
    </row>
    <row r="214" spans="1:9" ht="12.75">
      <c r="A214" s="104" t="str">
        <f>"Gulf International Bank (UK), 1.10% - 1.77%, 01/26/2021 (Bahrain) - "&amp;TEXT((H214)/$H$277,"##0.00%")</f>
        <v>Gulf International Bank (UK), 1.10% - 1.77%, 01/26/2021 (Bahrain) - 0.66%</v>
      </c>
      <c r="B214" s="58"/>
      <c r="C214" s="58"/>
      <c r="D214" s="95"/>
      <c r="E214" s="33"/>
      <c r="F214" s="8">
        <v>1053781</v>
      </c>
      <c r="H214" s="8">
        <v>1053781</v>
      </c>
      <c r="I214" s="27">
        <f>H214/$H$277</f>
        <v>0.006648900787139826</v>
      </c>
    </row>
    <row r="215" spans="1:9" ht="12.75">
      <c r="A215" s="104" t="str">
        <f>"Maybank Islamic Bank, 1.05% - 2.80%, 12/07/2020 - 06/01/2021 (Malaysia) - "&amp;TEXT((H215)/$H$277,"##0.00%")</f>
        <v>Maybank Islamic Bank, 1.05% - 2.80%, 12/07/2020 - 06/01/2021 (Malaysia) - 5.92%</v>
      </c>
      <c r="B215" s="58"/>
      <c r="C215" s="58"/>
      <c r="D215" s="95"/>
      <c r="E215" s="33"/>
      <c r="F215" s="8">
        <v>9386176</v>
      </c>
      <c r="H215" s="8">
        <v>9386176</v>
      </c>
      <c r="I215" s="27">
        <f>H215/$H$277</f>
        <v>0.05922269712078026</v>
      </c>
    </row>
    <row r="216" spans="1:9" ht="12.75">
      <c r="A216" s="104" t="str">
        <f>"Qatar National Bank, .40% - 2.10%, 11/06/2020 - 03/19/2021 (Qatar) - "&amp;TEXT((H216)/$H$277,"##0.00%")</f>
        <v>Qatar National Bank, .40% - 2.10%, 11/06/2020 - 03/19/2021 (Qatar) - 5.87%</v>
      </c>
      <c r="B216" s="58"/>
      <c r="C216" s="58"/>
      <c r="D216" s="95"/>
      <c r="E216" s="33"/>
      <c r="F216" s="8">
        <v>9310325</v>
      </c>
      <c r="H216" s="8">
        <v>9310325</v>
      </c>
      <c r="I216" s="27">
        <f>H216/$H$277</f>
        <v>0.05874411022881187</v>
      </c>
    </row>
    <row r="217" spans="1:5" ht="12.75">
      <c r="A217" s="33"/>
      <c r="B217" s="33"/>
      <c r="C217" s="33"/>
      <c r="D217" s="67"/>
      <c r="E217" s="33"/>
    </row>
    <row r="218" spans="1:13" ht="12.75">
      <c r="A218" s="33" t="s">
        <v>26</v>
      </c>
      <c r="B218" s="33"/>
      <c r="C218" s="33"/>
      <c r="D218" s="67"/>
      <c r="E218" s="33"/>
      <c r="F218" s="8" t="s">
        <v>145</v>
      </c>
      <c r="H218" s="8">
        <f>SUM(H213:H217)</f>
        <v>23884640</v>
      </c>
      <c r="I218" s="27">
        <f>H218/$H$277</f>
        <v>0.15070171287634848</v>
      </c>
      <c r="J218" s="60">
        <v>23884640</v>
      </c>
      <c r="K218" s="60">
        <v>23884640</v>
      </c>
      <c r="L218" s="31">
        <f>K218-H218</f>
        <v>0</v>
      </c>
      <c r="M218" s="27">
        <v>0.2508</v>
      </c>
    </row>
    <row r="219" spans="1:11" ht="12.75">
      <c r="A219" s="33"/>
      <c r="B219" s="33"/>
      <c r="C219" s="33"/>
      <c r="D219" s="67"/>
      <c r="E219" s="33"/>
      <c r="K219" s="27"/>
    </row>
    <row r="220" spans="1:8" ht="12.75">
      <c r="A220" s="35" t="str">
        <f>"Trade Finance Agreements (3) - "&amp;TEXT((H271)/$H$277,"##0.00%")</f>
        <v>Trade Finance Agreements (3) - 3.35%</v>
      </c>
      <c r="B220" s="35"/>
      <c r="C220" s="35"/>
      <c r="D220" s="66"/>
      <c r="E220" s="35"/>
      <c r="F220" s="35"/>
      <c r="G220" s="35"/>
      <c r="H220" s="35"/>
    </row>
    <row r="221" spans="1:5" ht="12.75">
      <c r="A221" s="33"/>
      <c r="B221" s="33"/>
      <c r="C221" s="33"/>
      <c r="D221" s="67"/>
      <c r="E221" s="33"/>
    </row>
    <row r="222" spans="1:8" ht="12.75">
      <c r="A222" s="33"/>
      <c r="B222" s="33"/>
      <c r="C222" s="33"/>
      <c r="D222" s="73" t="s">
        <v>2</v>
      </c>
      <c r="E222" s="43" t="s">
        <v>73</v>
      </c>
      <c r="F222" s="6"/>
      <c r="G222" s="6"/>
      <c r="H222" s="6"/>
    </row>
    <row r="223" spans="1:8" ht="12.75">
      <c r="A223" s="33"/>
      <c r="B223" s="33"/>
      <c r="C223" s="33"/>
      <c r="D223" s="74" t="s">
        <v>3</v>
      </c>
      <c r="E223" s="42" t="s">
        <v>78</v>
      </c>
      <c r="F223" s="45" t="s">
        <v>79</v>
      </c>
      <c r="G223" s="45"/>
      <c r="H223" s="45" t="s">
        <v>74</v>
      </c>
    </row>
    <row r="224" spans="1:8" ht="12.75">
      <c r="A224" s="33"/>
      <c r="B224" s="33"/>
      <c r="C224" s="33"/>
      <c r="D224" s="74"/>
      <c r="E224" s="42"/>
      <c r="F224" s="45"/>
      <c r="G224" s="45"/>
      <c r="H224" s="45"/>
    </row>
    <row r="225" spans="1:5" ht="12.75">
      <c r="A225" s="47" t="str">
        <f>"Banking Loans - "&amp;TEXT((H228)/$H$277,"##0.00%")</f>
        <v>Banking Loans - 0.01%</v>
      </c>
      <c r="B225" s="47"/>
      <c r="C225" s="47"/>
      <c r="D225" s="68"/>
      <c r="E225" s="47"/>
    </row>
    <row r="226" spans="1:8" ht="12.75">
      <c r="A226" s="33" t="s">
        <v>118</v>
      </c>
      <c r="B226" s="33"/>
      <c r="C226" s="33"/>
      <c r="D226" s="77">
        <v>23612</v>
      </c>
      <c r="E226" s="44">
        <v>44049</v>
      </c>
      <c r="F226" s="8">
        <f>D226</f>
        <v>23612</v>
      </c>
      <c r="H226" s="8">
        <v>23612</v>
      </c>
    </row>
    <row r="227" spans="1:5" ht="12.75">
      <c r="A227" s="33"/>
      <c r="B227" s="33"/>
      <c r="C227" s="33"/>
      <c r="D227" s="77"/>
      <c r="E227" s="33"/>
    </row>
    <row r="228" spans="1:9" ht="12.75">
      <c r="A228" s="33"/>
      <c r="B228" s="33"/>
      <c r="C228" s="33"/>
      <c r="D228" s="77"/>
      <c r="E228" s="33"/>
      <c r="H228" s="8">
        <f>SUM(H226:H226)</f>
        <v>23612</v>
      </c>
      <c r="I228" s="27">
        <f>H228/$H$277</f>
        <v>0.00014898147279742715</v>
      </c>
    </row>
    <row r="229" spans="1:5" ht="12.75">
      <c r="A229" s="4"/>
      <c r="B229" s="4"/>
      <c r="C229" s="4"/>
      <c r="D229" s="79"/>
      <c r="E229" s="4"/>
    </row>
    <row r="230" spans="1:5" ht="12.75">
      <c r="A230" s="47" t="str">
        <f>"Bank Time Deposits - "&amp;TEXT((H233)/$H$277,"##0.00%")</f>
        <v>Bank Time Deposits - 0.02%</v>
      </c>
      <c r="B230" s="47"/>
      <c r="C230" s="47"/>
      <c r="D230" s="68"/>
      <c r="E230" s="47"/>
    </row>
    <row r="231" spans="1:8" ht="12.75">
      <c r="A231" s="58" t="s">
        <v>116</v>
      </c>
      <c r="B231" s="33"/>
      <c r="C231" s="33"/>
      <c r="D231" s="77">
        <v>28916</v>
      </c>
      <c r="E231" s="44">
        <v>44041</v>
      </c>
      <c r="F231" s="8">
        <f>D231</f>
        <v>28916</v>
      </c>
      <c r="H231" s="8">
        <v>28916</v>
      </c>
    </row>
    <row r="232" spans="1:5" ht="12.75">
      <c r="A232" s="33"/>
      <c r="B232" s="33"/>
      <c r="C232" s="33"/>
      <c r="D232" s="77"/>
      <c r="E232" s="33"/>
    </row>
    <row r="233" spans="1:9" ht="12.75">
      <c r="A233" s="33"/>
      <c r="B233" s="33"/>
      <c r="C233" s="33"/>
      <c r="D233" s="77"/>
      <c r="E233" s="33"/>
      <c r="H233" s="8">
        <f>SUM(H231:H231)</f>
        <v>28916</v>
      </c>
      <c r="I233" s="27">
        <f>H233/$H$277</f>
        <v>0.00018244741095249886</v>
      </c>
    </row>
    <row r="234" spans="1:5" ht="12.75">
      <c r="A234" s="4"/>
      <c r="B234" s="4"/>
      <c r="C234" s="4"/>
      <c r="D234" s="79"/>
      <c r="E234" s="4"/>
    </row>
    <row r="235" spans="1:5" ht="12.75">
      <c r="A235" s="47" t="str">
        <f>"Consumer Non-Cyclical/Food-Wholesale - "&amp;TEXT((H244)/$H$277,"##0.00%")</f>
        <v>Consumer Non-Cyclical/Food-Wholesale - 0.44%</v>
      </c>
      <c r="B235" s="47"/>
      <c r="C235" s="47"/>
      <c r="D235" s="80"/>
      <c r="E235" s="47"/>
    </row>
    <row r="236" spans="1:8" ht="12.75">
      <c r="A236" s="58" t="s">
        <v>113</v>
      </c>
      <c r="B236" s="33"/>
      <c r="C236" s="33"/>
      <c r="D236" s="81">
        <v>250000</v>
      </c>
      <c r="E236" s="44">
        <v>43529</v>
      </c>
      <c r="F236" s="8">
        <f>D236</f>
        <v>250000</v>
      </c>
      <c r="H236" s="8">
        <v>250000</v>
      </c>
    </row>
    <row r="237" spans="1:8" ht="12.75">
      <c r="A237" s="58" t="s">
        <v>113</v>
      </c>
      <c r="B237" s="33"/>
      <c r="C237" s="33"/>
      <c r="D237" s="81">
        <v>250000</v>
      </c>
      <c r="E237" s="44">
        <v>43538</v>
      </c>
      <c r="F237" s="8">
        <f aca="true" t="shared" si="0" ref="F237:F242">D237</f>
        <v>250000</v>
      </c>
      <c r="H237" s="8">
        <v>250000</v>
      </c>
    </row>
    <row r="238" spans="1:19" s="55" customFormat="1" ht="12.75">
      <c r="A238" s="58" t="s">
        <v>112</v>
      </c>
      <c r="B238" s="58"/>
      <c r="C238" s="58"/>
      <c r="D238" s="82">
        <v>17313</v>
      </c>
      <c r="E238" s="59">
        <v>44062</v>
      </c>
      <c r="F238" s="54">
        <f t="shared" si="0"/>
        <v>17313</v>
      </c>
      <c r="G238" s="54"/>
      <c r="H238" s="54">
        <v>17313</v>
      </c>
      <c r="I238" s="57"/>
      <c r="J238" s="53"/>
      <c r="K238" s="53"/>
      <c r="L238" s="53"/>
      <c r="M238" s="57"/>
      <c r="N238" s="57"/>
      <c r="O238" s="56"/>
      <c r="P238" s="56"/>
      <c r="S238" s="92"/>
    </row>
    <row r="239" spans="1:19" s="55" customFormat="1" ht="12.75">
      <c r="A239" s="58" t="s">
        <v>114</v>
      </c>
      <c r="B239" s="58"/>
      <c r="C239" s="58"/>
      <c r="D239" s="82">
        <v>65228</v>
      </c>
      <c r="E239" s="59">
        <v>44063</v>
      </c>
      <c r="F239" s="54">
        <f t="shared" si="0"/>
        <v>65228</v>
      </c>
      <c r="G239" s="54"/>
      <c r="H239" s="54">
        <v>65228</v>
      </c>
      <c r="I239" s="57"/>
      <c r="J239" s="53"/>
      <c r="K239" s="53"/>
      <c r="L239" s="53"/>
      <c r="M239" s="57"/>
      <c r="N239" s="57"/>
      <c r="O239" s="56"/>
      <c r="P239" s="56"/>
      <c r="S239" s="92"/>
    </row>
    <row r="240" spans="1:19" s="55" customFormat="1" ht="12.75">
      <c r="A240" s="58" t="s">
        <v>115</v>
      </c>
      <c r="B240" s="58"/>
      <c r="C240" s="58"/>
      <c r="D240" s="82">
        <v>65228</v>
      </c>
      <c r="E240" s="59">
        <v>44063</v>
      </c>
      <c r="F240" s="54">
        <f t="shared" si="0"/>
        <v>65228</v>
      </c>
      <c r="G240" s="54"/>
      <c r="H240" s="54">
        <v>65228</v>
      </c>
      <c r="I240" s="57"/>
      <c r="J240" s="53"/>
      <c r="K240" s="53"/>
      <c r="L240" s="53"/>
      <c r="M240" s="57"/>
      <c r="N240" s="57"/>
      <c r="O240" s="56"/>
      <c r="P240" s="56"/>
      <c r="S240" s="92"/>
    </row>
    <row r="241" spans="1:19" s="55" customFormat="1" ht="12.75">
      <c r="A241" s="58" t="s">
        <v>126</v>
      </c>
      <c r="B241" s="58"/>
      <c r="C241" s="58"/>
      <c r="D241" s="82">
        <v>17313</v>
      </c>
      <c r="E241" s="59">
        <v>44062</v>
      </c>
      <c r="F241" s="54">
        <f t="shared" si="0"/>
        <v>17313</v>
      </c>
      <c r="G241" s="54"/>
      <c r="H241" s="54">
        <v>17313</v>
      </c>
      <c r="I241" s="57"/>
      <c r="J241" s="53"/>
      <c r="K241" s="53"/>
      <c r="L241" s="53"/>
      <c r="M241" s="57"/>
      <c r="N241" s="57"/>
      <c r="O241" s="56"/>
      <c r="P241" s="56"/>
      <c r="S241" s="92"/>
    </row>
    <row r="242" spans="1:19" s="55" customFormat="1" ht="12.75">
      <c r="A242" s="58" t="s">
        <v>129</v>
      </c>
      <c r="B242" s="58"/>
      <c r="C242" s="58"/>
      <c r="D242" s="82">
        <v>28916</v>
      </c>
      <c r="E242" s="59">
        <v>44041</v>
      </c>
      <c r="F242" s="54">
        <f t="shared" si="0"/>
        <v>28916</v>
      </c>
      <c r="G242" s="54"/>
      <c r="H242" s="54">
        <v>28916</v>
      </c>
      <c r="I242" s="57"/>
      <c r="J242" s="53"/>
      <c r="K242" s="53"/>
      <c r="L242" s="53"/>
      <c r="M242" s="57"/>
      <c r="N242" s="57"/>
      <c r="O242" s="56"/>
      <c r="P242" s="56"/>
      <c r="S242" s="92"/>
    </row>
    <row r="243" spans="1:5" ht="12.75">
      <c r="A243" s="33"/>
      <c r="B243" s="33"/>
      <c r="C243" s="33"/>
      <c r="D243" s="77"/>
      <c r="E243" s="33"/>
    </row>
    <row r="244" spans="1:9" ht="12.75">
      <c r="A244" s="33"/>
      <c r="B244" s="33"/>
      <c r="C244" s="33"/>
      <c r="D244" s="77"/>
      <c r="E244" s="33"/>
      <c r="H244" s="8">
        <f>SUM(H236:H243)</f>
        <v>693998</v>
      </c>
      <c r="I244" s="27">
        <f>H244/$H$277</f>
        <v>0.004378826196784214</v>
      </c>
    </row>
    <row r="245" spans="1:5" ht="12.75">
      <c r="A245" s="33"/>
      <c r="B245" s="33"/>
      <c r="C245" s="33"/>
      <c r="D245" s="77"/>
      <c r="E245" s="33"/>
    </row>
    <row r="246" spans="1:5" ht="12.75">
      <c r="A246" s="47" t="str">
        <f>"Foreign Sovereign - "&amp;TEXT((H251)/$H$277,"##0.00%")</f>
        <v>Foreign Sovereign - 0.99%</v>
      </c>
      <c r="B246" s="33"/>
      <c r="C246" s="33"/>
      <c r="D246" s="77"/>
      <c r="E246" s="33"/>
    </row>
    <row r="247" spans="1:8" ht="15">
      <c r="A247" s="58" t="s">
        <v>127</v>
      </c>
      <c r="B247" s="33"/>
      <c r="C247" s="33"/>
      <c r="D247" s="77">
        <v>615729</v>
      </c>
      <c r="E247" s="50">
        <v>43955</v>
      </c>
      <c r="F247" s="8">
        <f>D247</f>
        <v>615729</v>
      </c>
      <c r="H247" s="8">
        <v>615667</v>
      </c>
    </row>
    <row r="248" spans="1:8" ht="15">
      <c r="A248" s="58" t="s">
        <v>128</v>
      </c>
      <c r="B248" s="33"/>
      <c r="C248" s="33"/>
      <c r="D248" s="77">
        <v>384271</v>
      </c>
      <c r="E248" s="50">
        <v>43965</v>
      </c>
      <c r="F248" s="8">
        <f>D248</f>
        <v>384271</v>
      </c>
      <c r="H248" s="8">
        <v>384233</v>
      </c>
    </row>
    <row r="249" spans="1:8" ht="12.75">
      <c r="A249" s="33" t="s">
        <v>125</v>
      </c>
      <c r="B249" s="33"/>
      <c r="C249" s="33"/>
      <c r="D249" s="77">
        <v>571747</v>
      </c>
      <c r="E249" s="51">
        <v>44091</v>
      </c>
      <c r="F249" s="8">
        <f>D249</f>
        <v>571747</v>
      </c>
      <c r="H249" s="8">
        <v>571690</v>
      </c>
    </row>
    <row r="250" spans="1:5" ht="12.75">
      <c r="A250" s="33"/>
      <c r="B250" s="33"/>
      <c r="C250" s="33"/>
      <c r="D250" s="77"/>
      <c r="E250" s="33"/>
    </row>
    <row r="251" spans="1:9" ht="12.75">
      <c r="A251" s="33"/>
      <c r="B251" s="33"/>
      <c r="C251" s="33"/>
      <c r="D251" s="77"/>
      <c r="E251" s="33"/>
      <c r="H251" s="8">
        <f>SUM(H247:H250)</f>
        <v>1571590</v>
      </c>
      <c r="I251" s="27">
        <f>H251/$H$277</f>
        <v>0.009916050856924806</v>
      </c>
    </row>
    <row r="252" spans="1:5" ht="12.75">
      <c r="A252" s="33"/>
      <c r="B252" s="33"/>
      <c r="C252" s="33"/>
      <c r="D252" s="77"/>
      <c r="E252" s="33"/>
    </row>
    <row r="253" spans="1:19" s="55" customFormat="1" ht="12.75">
      <c r="A253" s="93" t="str">
        <f>"Energy-Oil Refining &amp; Marketing - "&amp;TEXT((H263)/$H$277,"##0.00%")</f>
        <v>Energy-Oil Refining &amp; Marketing - 1.26%</v>
      </c>
      <c r="B253" s="93"/>
      <c r="C253" s="93"/>
      <c r="D253" s="98"/>
      <c r="E253" s="93"/>
      <c r="F253" s="54"/>
      <c r="G253" s="54"/>
      <c r="H253" s="54"/>
      <c r="I253" s="57"/>
      <c r="J253" s="53"/>
      <c r="K253" s="53"/>
      <c r="L253" s="53"/>
      <c r="M253" s="57"/>
      <c r="N253" s="57"/>
      <c r="O253" s="56"/>
      <c r="P253" s="56"/>
      <c r="S253" s="92"/>
    </row>
    <row r="254" spans="1:19" s="55" customFormat="1" ht="12.75">
      <c r="A254" s="58" t="s">
        <v>130</v>
      </c>
      <c r="B254" s="58"/>
      <c r="C254" s="58"/>
      <c r="D254" s="99">
        <v>15965</v>
      </c>
      <c r="E254" s="59">
        <v>43929</v>
      </c>
      <c r="F254" s="54">
        <f>D254</f>
        <v>15965</v>
      </c>
      <c r="G254" s="54"/>
      <c r="H254" s="54">
        <v>15950</v>
      </c>
      <c r="I254" s="57"/>
      <c r="J254" s="53"/>
      <c r="K254" s="53"/>
      <c r="L254" s="53"/>
      <c r="M254" s="57"/>
      <c r="N254" s="57"/>
      <c r="O254" s="56"/>
      <c r="P254" s="56"/>
      <c r="S254" s="100"/>
    </row>
    <row r="255" spans="1:19" s="55" customFormat="1" ht="12.75">
      <c r="A255" s="58" t="s">
        <v>117</v>
      </c>
      <c r="B255" s="58"/>
      <c r="C255" s="58"/>
      <c r="D255" s="99">
        <v>1000000</v>
      </c>
      <c r="E255" s="59">
        <v>44001</v>
      </c>
      <c r="F255" s="54">
        <f aca="true" t="shared" si="1" ref="F255:F261">D255</f>
        <v>1000000</v>
      </c>
      <c r="G255" s="54"/>
      <c r="H255" s="54">
        <v>1000000</v>
      </c>
      <c r="I255" s="57"/>
      <c r="J255" s="53"/>
      <c r="K255" s="53"/>
      <c r="L255" s="53"/>
      <c r="M255" s="57"/>
      <c r="N255" s="57"/>
      <c r="O255" s="56"/>
      <c r="P255" s="56"/>
      <c r="S255" s="92"/>
    </row>
    <row r="256" spans="1:19" s="55" customFormat="1" ht="12.75">
      <c r="A256" s="33" t="s">
        <v>119</v>
      </c>
      <c r="B256" s="58"/>
      <c r="C256" s="58"/>
      <c r="D256" s="77">
        <v>313641</v>
      </c>
      <c r="E256" s="59">
        <v>44090</v>
      </c>
      <c r="F256" s="54">
        <f t="shared" si="1"/>
        <v>313641</v>
      </c>
      <c r="G256" s="54"/>
      <c r="H256" s="54">
        <v>313641</v>
      </c>
      <c r="I256" s="57"/>
      <c r="J256" s="53"/>
      <c r="K256" s="53"/>
      <c r="L256" s="53"/>
      <c r="M256" s="57"/>
      <c r="N256" s="57"/>
      <c r="O256" s="56"/>
      <c r="P256" s="56"/>
      <c r="S256" s="92"/>
    </row>
    <row r="257" spans="1:19" s="55" customFormat="1" ht="12.75">
      <c r="A257" s="33" t="s">
        <v>120</v>
      </c>
      <c r="B257" s="58"/>
      <c r="C257" s="58"/>
      <c r="D257" s="77">
        <v>20283</v>
      </c>
      <c r="E257" s="59">
        <v>44090</v>
      </c>
      <c r="F257" s="54">
        <f t="shared" si="1"/>
        <v>20283</v>
      </c>
      <c r="G257" s="54"/>
      <c r="H257" s="54">
        <v>20283</v>
      </c>
      <c r="I257" s="57"/>
      <c r="J257" s="53"/>
      <c r="K257" s="53"/>
      <c r="L257" s="53"/>
      <c r="M257" s="57"/>
      <c r="N257" s="57"/>
      <c r="O257" s="56"/>
      <c r="P257" s="56"/>
      <c r="S257" s="92"/>
    </row>
    <row r="258" spans="1:19" s="55" customFormat="1" ht="12.75">
      <c r="A258" s="33" t="s">
        <v>121</v>
      </c>
      <c r="B258" s="58"/>
      <c r="C258" s="58"/>
      <c r="D258" s="77">
        <v>290488</v>
      </c>
      <c r="E258" s="59">
        <v>44090</v>
      </c>
      <c r="F258" s="54">
        <f t="shared" si="1"/>
        <v>290488</v>
      </c>
      <c r="G258" s="54"/>
      <c r="H258" s="54">
        <v>290488</v>
      </c>
      <c r="I258" s="57"/>
      <c r="J258" s="53"/>
      <c r="K258" s="53"/>
      <c r="L258" s="53"/>
      <c r="M258" s="57"/>
      <c r="N258" s="57"/>
      <c r="O258" s="56"/>
      <c r="P258" s="56"/>
      <c r="S258" s="92"/>
    </row>
    <row r="259" spans="1:19" s="55" customFormat="1" ht="12.75">
      <c r="A259" s="33" t="s">
        <v>122</v>
      </c>
      <c r="B259" s="58"/>
      <c r="C259" s="58"/>
      <c r="D259" s="77">
        <v>309465</v>
      </c>
      <c r="E259" s="59">
        <v>44091</v>
      </c>
      <c r="F259" s="54">
        <f t="shared" si="1"/>
        <v>309465</v>
      </c>
      <c r="G259" s="54"/>
      <c r="H259" s="54">
        <v>309465</v>
      </c>
      <c r="I259" s="57"/>
      <c r="J259" s="53"/>
      <c r="K259" s="53"/>
      <c r="L259" s="53"/>
      <c r="M259" s="57"/>
      <c r="N259" s="57"/>
      <c r="O259" s="56"/>
      <c r="P259" s="56"/>
      <c r="S259" s="92"/>
    </row>
    <row r="260" spans="1:19" s="55" customFormat="1" ht="12.75">
      <c r="A260" s="33" t="s">
        <v>123</v>
      </c>
      <c r="B260" s="58"/>
      <c r="C260" s="58"/>
      <c r="D260" s="77">
        <v>20283</v>
      </c>
      <c r="E260" s="59">
        <v>44091</v>
      </c>
      <c r="F260" s="54">
        <f t="shared" si="1"/>
        <v>20283</v>
      </c>
      <c r="G260" s="54"/>
      <c r="H260" s="54">
        <v>20283</v>
      </c>
      <c r="I260" s="57"/>
      <c r="J260" s="53"/>
      <c r="K260" s="53"/>
      <c r="L260" s="53"/>
      <c r="M260" s="57"/>
      <c r="N260" s="57"/>
      <c r="O260" s="56"/>
      <c r="P260" s="56"/>
      <c r="S260" s="92"/>
    </row>
    <row r="261" spans="1:19" s="55" customFormat="1" ht="12.75">
      <c r="A261" s="33" t="s">
        <v>124</v>
      </c>
      <c r="B261" s="58"/>
      <c r="C261" s="58"/>
      <c r="D261" s="77">
        <v>20645</v>
      </c>
      <c r="E261" s="59">
        <v>44098</v>
      </c>
      <c r="F261" s="54">
        <f t="shared" si="1"/>
        <v>20645</v>
      </c>
      <c r="G261" s="54"/>
      <c r="H261" s="54">
        <v>20645</v>
      </c>
      <c r="I261" s="57"/>
      <c r="J261" s="53"/>
      <c r="K261" s="53"/>
      <c r="L261" s="53"/>
      <c r="M261" s="57"/>
      <c r="N261" s="57"/>
      <c r="O261" s="56"/>
      <c r="P261" s="56"/>
      <c r="S261" s="92"/>
    </row>
    <row r="262" spans="1:19" s="55" customFormat="1" ht="12.75">
      <c r="A262" s="58"/>
      <c r="B262" s="58"/>
      <c r="C262" s="105"/>
      <c r="D262" s="99"/>
      <c r="E262" s="58"/>
      <c r="F262" s="54"/>
      <c r="G262" s="54"/>
      <c r="H262" s="54"/>
      <c r="I262" s="57"/>
      <c r="J262" s="53"/>
      <c r="K262" s="53"/>
      <c r="L262" s="53"/>
      <c r="O262" s="109"/>
      <c r="P262" s="56"/>
      <c r="S262" s="92"/>
    </row>
    <row r="263" spans="1:19" s="55" customFormat="1" ht="12.75">
      <c r="A263" s="101"/>
      <c r="B263" s="101"/>
      <c r="C263" s="101"/>
      <c r="D263" s="102"/>
      <c r="E263" s="101"/>
      <c r="F263" s="54"/>
      <c r="G263" s="54"/>
      <c r="H263" s="54">
        <f>SUM(H254:H262)</f>
        <v>1990755</v>
      </c>
      <c r="I263" s="57">
        <f>H263/$H$277</f>
        <v>0.012560800096512031</v>
      </c>
      <c r="J263" s="53"/>
      <c r="K263" s="53"/>
      <c r="L263" s="53"/>
      <c r="P263" s="56"/>
      <c r="S263" s="92"/>
    </row>
    <row r="264" spans="1:19" s="55" customFormat="1" ht="12.75">
      <c r="A264" s="101"/>
      <c r="B264" s="101"/>
      <c r="C264" s="101"/>
      <c r="D264" s="102"/>
      <c r="E264" s="101"/>
      <c r="F264" s="54"/>
      <c r="G264" s="54"/>
      <c r="H264" s="54"/>
      <c r="I264" s="57"/>
      <c r="J264" s="53"/>
      <c r="K264" s="53"/>
      <c r="L264" s="53"/>
      <c r="M264" s="56">
        <v>-145125.1</v>
      </c>
      <c r="N264" s="57" t="s">
        <v>147</v>
      </c>
      <c r="O264" s="107"/>
      <c r="P264" s="56"/>
      <c r="S264" s="92"/>
    </row>
    <row r="265" spans="1:19" s="55" customFormat="1" ht="12.75">
      <c r="A265" s="93" t="str">
        <f>"Short Term Investments - "&amp;TEXT((H269)/$H$277,"##0.00%")</f>
        <v>Short Term Investments - 0.63%</v>
      </c>
      <c r="B265" s="93"/>
      <c r="C265" s="93"/>
      <c r="D265" s="98"/>
      <c r="E265" s="93"/>
      <c r="F265" s="54"/>
      <c r="G265" s="54"/>
      <c r="H265" s="54"/>
      <c r="I265" s="57"/>
      <c r="J265" s="53"/>
      <c r="K265" s="53"/>
      <c r="L265" s="53"/>
      <c r="M265" s="56">
        <v>1024532</v>
      </c>
      <c r="N265" s="57" t="s">
        <v>148</v>
      </c>
      <c r="O265" s="107">
        <v>157791201.91</v>
      </c>
      <c r="P265" s="56" t="s">
        <v>159</v>
      </c>
      <c r="S265" s="92"/>
    </row>
    <row r="266" spans="1:19" s="55" customFormat="1" ht="12.75">
      <c r="A266" s="58" t="s">
        <v>131</v>
      </c>
      <c r="B266" s="58"/>
      <c r="C266" s="58"/>
      <c r="D266" s="99">
        <v>1000000</v>
      </c>
      <c r="E266" s="59">
        <v>43879</v>
      </c>
      <c r="F266" s="54">
        <f>D266</f>
        <v>1000000</v>
      </c>
      <c r="G266" s="54"/>
      <c r="H266" s="54">
        <v>998000</v>
      </c>
      <c r="I266" s="57"/>
      <c r="J266" s="53"/>
      <c r="K266" s="53"/>
      <c r="L266" s="53"/>
      <c r="M266" s="56">
        <v>17390.69</v>
      </c>
      <c r="N266" s="57" t="s">
        <v>149</v>
      </c>
      <c r="O266" s="107">
        <v>661389.28</v>
      </c>
      <c r="P266" s="56" t="s">
        <v>161</v>
      </c>
      <c r="S266" s="100"/>
    </row>
    <row r="267" spans="1:19" s="55" customFormat="1" ht="12.75">
      <c r="A267" s="58"/>
      <c r="B267" s="58"/>
      <c r="C267" s="58"/>
      <c r="D267" s="99"/>
      <c r="E267" s="59"/>
      <c r="F267" s="54"/>
      <c r="G267" s="54"/>
      <c r="H267" s="54"/>
      <c r="I267" s="57"/>
      <c r="J267" s="53"/>
      <c r="K267" s="53"/>
      <c r="L267" s="53"/>
      <c r="M267" s="56">
        <v>23606.19</v>
      </c>
      <c r="N267" s="27" t="s">
        <v>150</v>
      </c>
      <c r="O267" s="107">
        <v>-145125.1</v>
      </c>
      <c r="P267" s="56" t="s">
        <v>147</v>
      </c>
      <c r="S267" s="92"/>
    </row>
    <row r="268" spans="1:19" s="55" customFormat="1" ht="12.75">
      <c r="A268" s="101"/>
      <c r="B268" s="101"/>
      <c r="C268" s="101"/>
      <c r="D268" s="102"/>
      <c r="E268" s="101"/>
      <c r="F268" s="54"/>
      <c r="G268" s="54"/>
      <c r="H268" s="54"/>
      <c r="I268" s="57"/>
      <c r="J268" s="53"/>
      <c r="K268" s="53"/>
      <c r="L268" s="53"/>
      <c r="M268" s="56">
        <v>1305.03</v>
      </c>
      <c r="N268" s="27" t="s">
        <v>151</v>
      </c>
      <c r="O268" s="107">
        <v>36914.82</v>
      </c>
      <c r="P268" s="56" t="s">
        <v>160</v>
      </c>
      <c r="S268" s="92"/>
    </row>
    <row r="269" spans="1:19" s="55" customFormat="1" ht="12.75">
      <c r="A269" s="101"/>
      <c r="B269" s="101"/>
      <c r="C269" s="101"/>
      <c r="D269" s="102"/>
      <c r="E269" s="101"/>
      <c r="F269" s="54"/>
      <c r="G269" s="54"/>
      <c r="H269" s="54">
        <f>SUM(H266:H268)</f>
        <v>998000</v>
      </c>
      <c r="I269" s="57">
        <f>H269/$H$277</f>
        <v>0.006296946885136045</v>
      </c>
      <c r="J269" s="53"/>
      <c r="K269" s="53"/>
      <c r="L269" s="53"/>
      <c r="M269" s="56">
        <v>16950.73</v>
      </c>
      <c r="N269" s="57" t="s">
        <v>152</v>
      </c>
      <c r="O269" s="108">
        <v>36914.81</v>
      </c>
      <c r="P269" s="56" t="s">
        <v>160</v>
      </c>
      <c r="S269" s="92"/>
    </row>
    <row r="270" spans="1:16" ht="12.75">
      <c r="A270" s="4"/>
      <c r="B270" s="4"/>
      <c r="C270" s="4"/>
      <c r="D270" s="79"/>
      <c r="E270" s="4"/>
      <c r="M270" s="103">
        <v>-1020706.45</v>
      </c>
      <c r="N270" s="57" t="s">
        <v>153</v>
      </c>
      <c r="O270" s="107">
        <f>SUM(O265:O269)</f>
        <v>158381295.72</v>
      </c>
      <c r="P270" s="41">
        <f>O270-O280</f>
        <v>0</v>
      </c>
    </row>
    <row r="271" spans="1:15" ht="12.75">
      <c r="A271" s="33" t="s">
        <v>25</v>
      </c>
      <c r="B271" s="33"/>
      <c r="C271" s="33"/>
      <c r="D271" s="77"/>
      <c r="E271" s="33"/>
      <c r="F271" s="8" t="s">
        <v>146</v>
      </c>
      <c r="H271" s="8">
        <f>H269+H263+H251+H244+H233+H228</f>
        <v>5306871</v>
      </c>
      <c r="I271" s="27">
        <f>H271/$H$277</f>
        <v>0.03348405291910702</v>
      </c>
      <c r="J271" s="60">
        <v>5306542</v>
      </c>
      <c r="K271" s="60">
        <v>5306871</v>
      </c>
      <c r="L271" s="31">
        <f>K271-H271</f>
        <v>0</v>
      </c>
      <c r="M271" s="106">
        <f>SUM(M264:M270)</f>
        <v>-82046.91000000003</v>
      </c>
      <c r="N271" s="29" t="s">
        <v>154</v>
      </c>
      <c r="O271" s="107"/>
    </row>
    <row r="272" spans="1:15" ht="12.75">
      <c r="A272" s="33"/>
      <c r="B272" s="33"/>
      <c r="C272" s="33"/>
      <c r="D272" s="77"/>
      <c r="E272" s="33"/>
      <c r="M272" s="106">
        <v>42848.08</v>
      </c>
      <c r="N272" s="29" t="s">
        <v>147</v>
      </c>
      <c r="O272" s="107"/>
    </row>
    <row r="273" spans="1:15" ht="12.75">
      <c r="A273" s="47" t="str">
        <f>"Total Investments - "&amp;TEXT((H273)/$H$277,"##0.00%")</f>
        <v>Total Investments - 95.19%</v>
      </c>
      <c r="B273" s="68"/>
      <c r="C273" s="47"/>
      <c r="D273" s="80"/>
      <c r="E273" s="47"/>
      <c r="F273" s="8" t="s">
        <v>162</v>
      </c>
      <c r="H273" s="8">
        <f>H218+H271+H209+H115</f>
        <v>150871158</v>
      </c>
      <c r="I273" s="27">
        <f>H273/$H$277</f>
        <v>0.951931531487944</v>
      </c>
      <c r="J273" s="60">
        <f>J271+J218+J209+J115</f>
        <v>145518393</v>
      </c>
      <c r="K273" s="60">
        <f>K271+K218+K209+K115</f>
        <v>150871158</v>
      </c>
      <c r="L273" s="31">
        <f>K273-H273</f>
        <v>0</v>
      </c>
      <c r="M273" s="106">
        <v>6959242.56</v>
      </c>
      <c r="N273" s="57" t="s">
        <v>155</v>
      </c>
      <c r="O273" s="107"/>
    </row>
    <row r="274" spans="1:15" ht="12.75">
      <c r="A274" s="33"/>
      <c r="B274" s="33"/>
      <c r="C274" s="33"/>
      <c r="D274" s="77"/>
      <c r="E274" s="33"/>
      <c r="M274" s="103">
        <v>661389.28</v>
      </c>
      <c r="N274" s="56" t="s">
        <v>156</v>
      </c>
      <c r="O274" s="56"/>
    </row>
    <row r="275" spans="1:15" ht="12.75">
      <c r="A275" s="33" t="str">
        <f>"Other Assets Less Liabilities - "&amp;TEXT((H275)/$H$277,"##0.00%")</f>
        <v>Other Assets Less Liabilities - 4.81%</v>
      </c>
      <c r="B275" s="33"/>
      <c r="C275" s="33"/>
      <c r="D275" s="77"/>
      <c r="E275" s="33"/>
      <c r="F275" s="54"/>
      <c r="H275" s="54">
        <v>7618347.82</v>
      </c>
      <c r="I275" s="27">
        <f>H275/$H$277</f>
        <v>0.04806846851205609</v>
      </c>
      <c r="M275" s="111">
        <f>O269</f>
        <v>36914.81</v>
      </c>
      <c r="O275" s="56"/>
    </row>
    <row r="276" spans="1:14" ht="12.75">
      <c r="A276" s="33"/>
      <c r="B276" s="33"/>
      <c r="C276" s="33"/>
      <c r="D276" s="77"/>
      <c r="E276" s="33"/>
      <c r="M276" s="61">
        <f>SUM(M271:M275)</f>
        <v>7618347.819999999</v>
      </c>
      <c r="N276" s="56" t="s">
        <v>157</v>
      </c>
    </row>
    <row r="277" spans="1:11" ht="12.75">
      <c r="A277" s="33" t="str">
        <f>"Total Net Assets - "&amp;TEXT((H277)/$H$277,"##0.00%")</f>
        <v>Total Net Assets - 100.00%</v>
      </c>
      <c r="B277" s="33"/>
      <c r="C277" s="58"/>
      <c r="D277" s="99"/>
      <c r="E277" s="58"/>
      <c r="F277" s="54"/>
      <c r="H277" s="54">
        <f>SUM(H273+H275)</f>
        <v>158489505.82</v>
      </c>
      <c r="I277" s="27">
        <f>H277/$H$277</f>
        <v>1</v>
      </c>
      <c r="K277" s="60">
        <f>K273+M276</f>
        <v>158489505.82</v>
      </c>
    </row>
    <row r="278" spans="1:5" ht="12.75">
      <c r="A278" s="33"/>
      <c r="B278" s="33"/>
      <c r="C278" s="33"/>
      <c r="D278" s="77"/>
      <c r="E278" s="33"/>
    </row>
    <row r="279" spans="1:19" s="10" customFormat="1" ht="13.5">
      <c r="A279" s="38" t="s">
        <v>6</v>
      </c>
      <c r="B279" s="38"/>
      <c r="C279" s="38"/>
      <c r="D279" s="83"/>
      <c r="E279" s="38"/>
      <c r="F279" s="38"/>
      <c r="G279" s="38"/>
      <c r="H279" s="38"/>
      <c r="I279" s="27"/>
      <c r="J279" s="31"/>
      <c r="K279" s="31"/>
      <c r="L279" s="31"/>
      <c r="M279" s="27"/>
      <c r="N279" s="27"/>
      <c r="O279" s="41"/>
      <c r="P279" s="41"/>
      <c r="S279" s="90"/>
    </row>
    <row r="280" spans="1:19" s="10" customFormat="1" ht="12.75">
      <c r="A280" s="38" t="s">
        <v>27</v>
      </c>
      <c r="B280" s="38"/>
      <c r="C280" s="38"/>
      <c r="D280" s="83"/>
      <c r="E280" s="38"/>
      <c r="F280" s="38"/>
      <c r="G280" s="38"/>
      <c r="H280" s="38"/>
      <c r="I280" s="27"/>
      <c r="J280" s="31"/>
      <c r="K280" s="31"/>
      <c r="L280" s="27" t="s">
        <v>158</v>
      </c>
      <c r="M280" s="27"/>
      <c r="N280" s="27"/>
      <c r="O280" s="110">
        <f>O270</f>
        <v>158381295.72</v>
      </c>
      <c r="P280" s="41"/>
      <c r="S280" s="90"/>
    </row>
    <row r="281" spans="1:19" s="10" customFormat="1" ht="12.75">
      <c r="A281" s="36" t="s">
        <v>7</v>
      </c>
      <c r="B281" s="36"/>
      <c r="C281" s="36"/>
      <c r="D281" s="84"/>
      <c r="E281" s="36"/>
      <c r="F281" s="36"/>
      <c r="G281" s="36"/>
      <c r="H281" s="36"/>
      <c r="I281" s="27"/>
      <c r="J281" s="31"/>
      <c r="K281" s="31"/>
      <c r="L281" s="31"/>
      <c r="M281" s="27"/>
      <c r="N281" s="27"/>
      <c r="O281" s="41">
        <f>H277-O280</f>
        <v>108210.09999999404</v>
      </c>
      <c r="P281" s="41"/>
      <c r="S281" s="90"/>
    </row>
    <row r="282" spans="1:19" s="10" customFormat="1" ht="12.75">
      <c r="A282" s="36" t="s">
        <v>8</v>
      </c>
      <c r="B282" s="36"/>
      <c r="C282" s="36"/>
      <c r="D282" s="84"/>
      <c r="E282" s="36"/>
      <c r="F282" s="36"/>
      <c r="G282" s="36"/>
      <c r="H282" s="36"/>
      <c r="I282" s="27"/>
      <c r="J282" s="31"/>
      <c r="K282" s="31"/>
      <c r="L282" s="31"/>
      <c r="M282" s="27"/>
      <c r="N282" s="27"/>
      <c r="O282" s="41">
        <f>O281-O268</f>
        <v>71295.27999999403</v>
      </c>
      <c r="P282" s="41"/>
      <c r="S282" s="90"/>
    </row>
    <row r="283" spans="1:19" s="10" customFormat="1" ht="12.75">
      <c r="A283" s="36" t="s">
        <v>9</v>
      </c>
      <c r="B283" s="36"/>
      <c r="C283" s="36"/>
      <c r="D283" s="84"/>
      <c r="E283" s="36"/>
      <c r="F283" s="36"/>
      <c r="G283" s="36"/>
      <c r="H283" s="36"/>
      <c r="I283" s="27"/>
      <c r="J283" s="31"/>
      <c r="K283" s="31"/>
      <c r="L283" s="31"/>
      <c r="M283" s="27"/>
      <c r="N283" s="27"/>
      <c r="O283" s="41">
        <f>O281-O282</f>
        <v>36914.82000000001</v>
      </c>
      <c r="P283" s="41"/>
      <c r="S283" s="90"/>
    </row>
    <row r="284" spans="1:19" s="10" customFormat="1" ht="12.75">
      <c r="A284" s="37"/>
      <c r="B284" s="37"/>
      <c r="C284" s="37"/>
      <c r="D284" s="85"/>
      <c r="E284" s="37"/>
      <c r="F284" s="37"/>
      <c r="G284" s="37"/>
      <c r="H284" s="37"/>
      <c r="I284" s="27"/>
      <c r="J284" s="31"/>
      <c r="K284" s="31"/>
      <c r="L284" s="31">
        <f>H277-158418210.54</f>
        <v>71295.28000000119</v>
      </c>
      <c r="M284" s="27"/>
      <c r="N284" s="27"/>
      <c r="O284" s="41"/>
      <c r="P284" s="41"/>
      <c r="S284" s="90"/>
    </row>
    <row r="285" spans="1:19" s="10" customFormat="1" ht="12.75">
      <c r="A285" s="36" t="s">
        <v>86</v>
      </c>
      <c r="B285" s="36"/>
      <c r="C285" s="36"/>
      <c r="D285" s="84"/>
      <c r="E285" s="36"/>
      <c r="F285" s="36"/>
      <c r="G285" s="36"/>
      <c r="H285" s="36"/>
      <c r="I285" s="27"/>
      <c r="J285" s="31"/>
      <c r="K285" s="31"/>
      <c r="L285" s="31"/>
      <c r="M285" s="27"/>
      <c r="N285" s="27"/>
      <c r="O285" s="41"/>
      <c r="P285" s="41"/>
      <c r="S285" s="90"/>
    </row>
    <row r="286" spans="4:19" s="10" customFormat="1" ht="12.75">
      <c r="D286" s="86"/>
      <c r="F286" s="8"/>
      <c r="G286" s="8"/>
      <c r="H286" s="8"/>
      <c r="I286" s="27"/>
      <c r="J286" s="31"/>
      <c r="K286" s="31"/>
      <c r="L286" s="31"/>
      <c r="M286" s="27"/>
      <c r="N286" s="27"/>
      <c r="O286" s="41"/>
      <c r="P286" s="41"/>
      <c r="S286" s="90"/>
    </row>
    <row r="287" spans="4:19" s="10" customFormat="1" ht="12.75">
      <c r="D287" s="86"/>
      <c r="F287" s="8"/>
      <c r="G287" s="8"/>
      <c r="H287" s="8"/>
      <c r="I287" s="27"/>
      <c r="J287" s="31"/>
      <c r="K287" s="31"/>
      <c r="L287" s="31"/>
      <c r="M287" s="27"/>
      <c r="N287" s="27"/>
      <c r="O287" s="41"/>
      <c r="P287" s="41"/>
      <c r="S287" s="90"/>
    </row>
    <row r="288" spans="1:8" ht="12.75">
      <c r="A288" s="11"/>
      <c r="B288" s="12"/>
      <c r="C288" s="12"/>
      <c r="D288" s="87"/>
      <c r="E288" s="12"/>
      <c r="F288" s="13" t="s">
        <v>10</v>
      </c>
      <c r="G288" s="13"/>
      <c r="H288" s="14" t="s">
        <v>12</v>
      </c>
    </row>
    <row r="289" spans="1:8" ht="12.75">
      <c r="A289" s="15" t="s">
        <v>13</v>
      </c>
      <c r="B289" s="16"/>
      <c r="C289" s="16"/>
      <c r="D289" s="88"/>
      <c r="E289" s="16"/>
      <c r="F289" s="17" t="s">
        <v>11</v>
      </c>
      <c r="G289" s="17"/>
      <c r="H289" s="18" t="s">
        <v>77</v>
      </c>
    </row>
    <row r="290" spans="1:9" ht="15">
      <c r="A290" s="19" t="s">
        <v>14</v>
      </c>
      <c r="B290" s="20"/>
      <c r="C290" s="20"/>
      <c r="D290" s="89"/>
      <c r="E290" s="21" t="s">
        <v>18</v>
      </c>
      <c r="F290" s="22">
        <f>H115</f>
        <v>11226646</v>
      </c>
      <c r="G290" s="21" t="s">
        <v>18</v>
      </c>
      <c r="H290" s="25" t="s">
        <v>19</v>
      </c>
      <c r="I290" s="29"/>
    </row>
    <row r="291" spans="1:9" ht="15">
      <c r="A291" s="19" t="s">
        <v>15</v>
      </c>
      <c r="B291" s="20"/>
      <c r="C291" s="20"/>
      <c r="D291" s="89"/>
      <c r="E291" s="23"/>
      <c r="F291" s="24">
        <f>H209+H218</f>
        <v>134337641</v>
      </c>
      <c r="G291" s="24"/>
      <c r="H291" s="25" t="s">
        <v>19</v>
      </c>
      <c r="I291" s="29"/>
    </row>
    <row r="292" spans="1:9" ht="15">
      <c r="A292" s="19" t="s">
        <v>16</v>
      </c>
      <c r="B292" s="20"/>
      <c r="C292" s="20"/>
      <c r="D292" s="89"/>
      <c r="E292" s="23"/>
      <c r="F292" s="39">
        <f>H271</f>
        <v>5306871</v>
      </c>
      <c r="G292" s="21"/>
      <c r="H292" s="25" t="s">
        <v>19</v>
      </c>
      <c r="I292" s="30"/>
    </row>
    <row r="293" spans="1:10" ht="15">
      <c r="A293" s="26" t="s">
        <v>17</v>
      </c>
      <c r="B293" s="20"/>
      <c r="C293" s="20"/>
      <c r="D293" s="89"/>
      <c r="E293" s="21" t="s">
        <v>18</v>
      </c>
      <c r="F293" s="22">
        <f>SUM(F290:F292)</f>
        <v>150871158</v>
      </c>
      <c r="G293" s="21" t="s">
        <v>18</v>
      </c>
      <c r="H293" s="25" t="s">
        <v>19</v>
      </c>
      <c r="I293" s="29"/>
      <c r="J293" s="60">
        <f>H273</f>
        <v>150871158</v>
      </c>
    </row>
    <row r="294" ht="12.75">
      <c r="D294" s="86"/>
    </row>
    <row r="295" spans="1:8" ht="12.75">
      <c r="A295" s="36" t="s">
        <v>20</v>
      </c>
      <c r="B295" s="36"/>
      <c r="C295" s="36"/>
      <c r="D295" s="76"/>
      <c r="E295" s="36"/>
      <c r="F295" s="36"/>
      <c r="G295" s="36"/>
      <c r="H295" s="36"/>
    </row>
    <row r="296" spans="1:16" ht="12.75">
      <c r="A296" s="36" t="s">
        <v>21</v>
      </c>
      <c r="B296" s="36"/>
      <c r="C296" s="36"/>
      <c r="D296" s="76"/>
      <c r="E296" s="36"/>
      <c r="F296" s="36"/>
      <c r="G296" s="36"/>
      <c r="H296" s="36"/>
      <c r="O296" s="56" t="s">
        <v>83</v>
      </c>
      <c r="P296" s="61">
        <f>H271</f>
        <v>5306871</v>
      </c>
    </row>
    <row r="297" spans="1:16" ht="12.75">
      <c r="A297" s="36" t="s">
        <v>22</v>
      </c>
      <c r="B297" s="36"/>
      <c r="C297" s="36"/>
      <c r="D297" s="76"/>
      <c r="E297" s="36"/>
      <c r="F297" s="36"/>
      <c r="G297" s="36"/>
      <c r="H297" s="36"/>
      <c r="O297" s="56" t="s">
        <v>76</v>
      </c>
      <c r="P297" s="62">
        <f>P296/H277</f>
        <v>0.03348405291910702</v>
      </c>
    </row>
    <row r="298" spans="1:8" ht="12.75">
      <c r="A298" s="36" t="s">
        <v>23</v>
      </c>
      <c r="B298" s="36"/>
      <c r="C298" s="36"/>
      <c r="D298" s="76"/>
      <c r="E298" s="36"/>
      <c r="F298" s="36"/>
      <c r="G298" s="36"/>
      <c r="H298" s="36"/>
    </row>
    <row r="299" spans="15:16" ht="12.75">
      <c r="O299" s="56" t="s">
        <v>82</v>
      </c>
      <c r="P299" s="61">
        <f>H170+H171+H172+H173+H174+H175+H177+H178+H179+H180+H181</f>
        <v>18409141</v>
      </c>
    </row>
    <row r="300" spans="1:16" ht="12.75">
      <c r="A300" s="34" t="s">
        <v>24</v>
      </c>
      <c r="B300" s="34"/>
      <c r="C300" s="34"/>
      <c r="D300" s="75"/>
      <c r="E300" s="34"/>
      <c r="F300" s="34"/>
      <c r="G300" s="34"/>
      <c r="H300" s="34"/>
      <c r="O300" s="56" t="s">
        <v>76</v>
      </c>
      <c r="P300" s="63">
        <f>P299/H277</f>
        <v>0.11615369045889805</v>
      </c>
    </row>
    <row r="301" spans="1:19" s="55" customFormat="1" ht="41.25" customHeight="1">
      <c r="A301" s="115" t="s">
        <v>87</v>
      </c>
      <c r="B301" s="115"/>
      <c r="C301" s="115"/>
      <c r="D301" s="115"/>
      <c r="E301" s="115"/>
      <c r="F301" s="115"/>
      <c r="G301" s="54"/>
      <c r="H301" s="54"/>
      <c r="I301" s="57"/>
      <c r="J301" s="53"/>
      <c r="K301" s="53"/>
      <c r="L301" s="53"/>
      <c r="M301" s="57"/>
      <c r="N301" s="57"/>
      <c r="O301" s="56"/>
      <c r="P301" s="56"/>
      <c r="S301" s="92"/>
    </row>
    <row r="302" spans="1:19" s="55" customFormat="1" ht="12.75">
      <c r="A302" s="55" t="s">
        <v>80</v>
      </c>
      <c r="D302" s="57"/>
      <c r="F302" s="52"/>
      <c r="G302" s="54"/>
      <c r="H302" s="54"/>
      <c r="I302" s="57"/>
      <c r="J302" s="53"/>
      <c r="K302" s="53"/>
      <c r="L302" s="53"/>
      <c r="M302" s="57"/>
      <c r="N302" s="57"/>
      <c r="O302" s="56"/>
      <c r="P302" s="56"/>
      <c r="S302" s="92"/>
    </row>
    <row r="303" spans="1:19" s="55" customFormat="1" ht="12.75">
      <c r="A303" s="55" t="s">
        <v>81</v>
      </c>
      <c r="D303" s="57"/>
      <c r="F303" s="52"/>
      <c r="G303" s="54"/>
      <c r="H303" s="54"/>
      <c r="I303" s="57"/>
      <c r="J303" s="53"/>
      <c r="K303" s="53"/>
      <c r="L303" s="53"/>
      <c r="M303" s="57"/>
      <c r="N303" s="57"/>
      <c r="O303" s="56"/>
      <c r="P303" s="56"/>
      <c r="S303" s="92"/>
    </row>
    <row r="304" spans="1:6" ht="40.5" customHeight="1">
      <c r="A304" s="115" t="s">
        <v>88</v>
      </c>
      <c r="B304" s="115"/>
      <c r="C304" s="115"/>
      <c r="D304" s="115"/>
      <c r="E304" s="115"/>
      <c r="F304" s="115"/>
    </row>
  </sheetData>
  <sheetProtection/>
  <mergeCells count="5">
    <mergeCell ref="A1:H1"/>
    <mergeCell ref="A2:H2"/>
    <mergeCell ref="A3:H3"/>
    <mergeCell ref="A301:F301"/>
    <mergeCell ref="A304:F30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SMW-PC1</dc:creator>
  <cp:keywords/>
  <dc:description/>
  <cp:lastModifiedBy>Lori A. Polly</cp:lastModifiedBy>
  <dcterms:created xsi:type="dcterms:W3CDTF">2020-03-31T17:01:31Z</dcterms:created>
  <dcterms:modified xsi:type="dcterms:W3CDTF">2020-11-05T20:01:09Z</dcterms:modified>
  <cp:category/>
  <cp:version/>
  <cp:contentType/>
  <cp:contentStatus/>
</cp:coreProperties>
</file>